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19\Alternative Services Delivery\Briefings\"/>
    </mc:Choice>
  </mc:AlternateContent>
  <xr:revisionPtr revIDLastSave="0" documentId="8_{B224913E-A2C0-435F-8DB7-F991D95704C0}" xr6:coauthVersionLast="44" xr6:coauthVersionMax="44" xr10:uidLastSave="{00000000-0000-0000-0000-000000000000}"/>
  <bookViews>
    <workbookView xWindow="28680" yWindow="-120" windowWidth="29040" windowHeight="17640" activeTab="2" xr2:uid="{00BE7C4C-EB3C-4585-8B09-8874AB53142A}"/>
  </bookViews>
  <sheets>
    <sheet name="RepricingExamples" sheetId="2" r:id="rId1"/>
    <sheet name="IndivRollupExample" sheetId="3" r:id="rId2"/>
    <sheet name="VendorRollupExample" sheetId="4" r:id="rId3"/>
  </sheets>
  <definedNames>
    <definedName name="_xlnm._FilterDatabase" localSheetId="1" hidden="1">IndivRollupExample!$A$1:$S$7</definedName>
    <definedName name="_xlnm._FilterDatabase" localSheetId="0" hidden="1">RepricingExamples!$A$2:$AC$85</definedName>
    <definedName name="_xlnm.Print_Area" localSheetId="1">IndivRollupExample!$C$1:$Q$7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3" l="1"/>
  <c r="R15" i="3"/>
  <c r="D5" i="4" s="1"/>
  <c r="S15" i="3"/>
  <c r="Q16" i="3"/>
  <c r="R16" i="3"/>
  <c r="S16" i="3"/>
  <c r="Q17" i="3"/>
  <c r="R17" i="3"/>
  <c r="S17" i="3"/>
  <c r="Q18" i="3"/>
  <c r="R18" i="3"/>
  <c r="S18" i="3"/>
  <c r="Q19" i="3"/>
  <c r="R19" i="3"/>
  <c r="S19" i="3"/>
  <c r="Q20" i="3"/>
  <c r="R20" i="3"/>
  <c r="S20" i="3"/>
  <c r="E5" i="4"/>
  <c r="F5" i="4" l="1"/>
  <c r="E4" i="4" l="1"/>
  <c r="D4" i="4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S6" i="3"/>
  <c r="R6" i="3"/>
  <c r="Q6" i="3"/>
  <c r="S5" i="3"/>
  <c r="E3" i="4" s="1"/>
  <c r="R5" i="3"/>
  <c r="Q5" i="3"/>
  <c r="S4" i="3"/>
  <c r="R4" i="3"/>
  <c r="D3" i="4" s="1"/>
  <c r="Q4" i="3"/>
  <c r="S3" i="3"/>
  <c r="R3" i="3"/>
  <c r="Q3" i="3"/>
  <c r="F4" i="4" l="1"/>
  <c r="F3" i="4"/>
  <c r="K33" i="2" l="1" a="1"/>
  <c r="K33" i="2" s="1"/>
  <c r="O33" i="2" s="1"/>
  <c r="J33" i="2"/>
  <c r="X33" i="2" l="1" a="1"/>
  <c r="X33" i="2" s="1"/>
  <c r="AA33" i="2"/>
  <c r="Z33" i="2"/>
  <c r="Y33" i="2"/>
  <c r="W33" i="2"/>
  <c r="AB33" i="2"/>
  <c r="J70" i="2"/>
  <c r="J69" i="2"/>
  <c r="J68" i="2"/>
  <c r="J67" i="2"/>
  <c r="J66" i="2"/>
  <c r="J65" i="2"/>
  <c r="J62" i="2"/>
  <c r="J61" i="2"/>
  <c r="J60" i="2"/>
  <c r="J59" i="2"/>
  <c r="J58" i="2"/>
  <c r="J57" i="2"/>
  <c r="J56" i="2"/>
  <c r="J55" i="2"/>
  <c r="J54" i="2"/>
  <c r="J53" i="2"/>
  <c r="J52" i="2"/>
  <c r="J49" i="2"/>
  <c r="J48" i="2"/>
  <c r="J47" i="2"/>
  <c r="J46" i="2"/>
  <c r="J45" i="2"/>
  <c r="J44" i="2"/>
  <c r="J43" i="2"/>
  <c r="J42" i="2"/>
  <c r="J41" i="2"/>
  <c r="J40" i="2"/>
  <c r="J39" i="2"/>
  <c r="J38" i="2"/>
  <c r="J35" i="2"/>
  <c r="J34" i="2"/>
  <c r="J32" i="2"/>
  <c r="J29" i="2"/>
  <c r="J28" i="2"/>
  <c r="J27" i="2"/>
  <c r="J26" i="2"/>
  <c r="J25" i="2"/>
  <c r="J24" i="2"/>
  <c r="J23" i="2"/>
  <c r="J22" i="2"/>
  <c r="J21" i="2"/>
  <c r="J20" i="2"/>
  <c r="J19" i="2"/>
  <c r="J18" i="2"/>
  <c r="U61" i="2" l="1"/>
  <c r="U62" i="2"/>
  <c r="U69" i="2"/>
  <c r="U70" i="2"/>
  <c r="U48" i="2"/>
  <c r="U49" i="2"/>
  <c r="U34" i="2"/>
  <c r="U35" i="2"/>
  <c r="U28" i="2"/>
  <c r="U29" i="2"/>
  <c r="K82" i="2" a="1"/>
  <c r="K82" i="2" s="1"/>
  <c r="J15" i="2"/>
  <c r="U15" i="2" s="1"/>
  <c r="J14" i="2"/>
  <c r="J13" i="2"/>
  <c r="J12" i="2"/>
  <c r="J11" i="2"/>
  <c r="J10" i="2"/>
  <c r="J9" i="2"/>
  <c r="J8" i="2"/>
  <c r="J7" i="2"/>
  <c r="J6" i="2"/>
  <c r="J5" i="2"/>
  <c r="J4" i="2"/>
  <c r="U14" i="2" l="1"/>
  <c r="J84" i="2" l="1"/>
  <c r="J83" i="2"/>
  <c r="J82" i="2"/>
  <c r="AB82" i="2" s="1"/>
  <c r="J81" i="2"/>
  <c r="J80" i="2"/>
  <c r="J79" i="2"/>
  <c r="J78" i="2"/>
  <c r="J77" i="2"/>
  <c r="J76" i="2"/>
  <c r="J75" i="2"/>
  <c r="J74" i="2"/>
  <c r="J73" i="2"/>
  <c r="K54" i="2" l="1" a="1"/>
  <c r="K54" i="2" s="1"/>
  <c r="K65" i="2" a="1"/>
  <c r="K65" i="2" s="1"/>
  <c r="K66" i="2" a="1"/>
  <c r="K66" i="2" s="1"/>
  <c r="K53" i="2" a="1"/>
  <c r="K53" i="2" s="1"/>
  <c r="K58" i="2" a="1"/>
  <c r="K58" i="2" s="1"/>
  <c r="K60" i="2" a="1"/>
  <c r="K60" i="2" s="1"/>
  <c r="K68" i="2" a="1"/>
  <c r="K68" i="2" s="1"/>
  <c r="K70" i="2" a="1"/>
  <c r="K70" i="2" s="1"/>
  <c r="K52" i="2" a="1"/>
  <c r="K52" i="2" s="1"/>
  <c r="K55" i="2" a="1"/>
  <c r="K55" i="2" s="1"/>
  <c r="K57" i="2" a="1"/>
  <c r="K57" i="2" s="1"/>
  <c r="K67" i="2" a="1"/>
  <c r="K67" i="2" s="1"/>
  <c r="K62" i="2" a="1"/>
  <c r="K62" i="2" s="1"/>
  <c r="K61" i="2" a="1"/>
  <c r="K61" i="2" s="1"/>
  <c r="K56" i="2" a="1"/>
  <c r="K56" i="2" s="1"/>
  <c r="K69" i="2" a="1"/>
  <c r="K69" i="2" s="1"/>
  <c r="K59" i="2" a="1"/>
  <c r="K59" i="2" s="1"/>
  <c r="K47" i="2" a="1"/>
  <c r="K47" i="2" s="1"/>
  <c r="K39" i="2" a="1"/>
  <c r="K39" i="2" s="1"/>
  <c r="K40" i="2" a="1"/>
  <c r="K40" i="2" s="1"/>
  <c r="K46" i="2" a="1"/>
  <c r="K46" i="2" s="1"/>
  <c r="K38" i="2" a="1"/>
  <c r="K38" i="2" s="1"/>
  <c r="K43" i="2" a="1"/>
  <c r="K43" i="2" s="1"/>
  <c r="K45" i="2" a="1"/>
  <c r="K45" i="2" s="1"/>
  <c r="K42" i="2" a="1"/>
  <c r="K42" i="2" s="1"/>
  <c r="K44" i="2" a="1"/>
  <c r="K44" i="2" s="1"/>
  <c r="K41" i="2" a="1"/>
  <c r="K41" i="2" s="1"/>
  <c r="K49" i="2" a="1"/>
  <c r="K49" i="2" s="1"/>
  <c r="K48" i="2" a="1"/>
  <c r="K48" i="2" s="1"/>
  <c r="K32" i="2" a="1"/>
  <c r="K32" i="2" s="1"/>
  <c r="K35" i="2" a="1"/>
  <c r="K35" i="2" s="1"/>
  <c r="K34" i="2" a="1"/>
  <c r="K34" i="2" s="1"/>
  <c r="K27" i="2" a="1"/>
  <c r="K27" i="2" s="1"/>
  <c r="K20" i="2" a="1"/>
  <c r="K20" i="2" s="1"/>
  <c r="K28" i="2" a="1"/>
  <c r="K28" i="2" s="1"/>
  <c r="K26" i="2" a="1"/>
  <c r="K26" i="2" s="1"/>
  <c r="K25" i="2" a="1"/>
  <c r="K25" i="2" s="1"/>
  <c r="K23" i="2" a="1"/>
  <c r="K23" i="2" s="1"/>
  <c r="K24" i="2" a="1"/>
  <c r="K24" i="2" s="1"/>
  <c r="K19" i="2" a="1"/>
  <c r="K19" i="2" s="1"/>
  <c r="K21" i="2" a="1"/>
  <c r="K21" i="2" s="1"/>
  <c r="K22" i="2" a="1"/>
  <c r="K22" i="2" s="1"/>
  <c r="K18" i="2" a="1"/>
  <c r="K18" i="2" s="1"/>
  <c r="K29" i="2" a="1"/>
  <c r="K29" i="2" s="1"/>
  <c r="K9" i="2" a="1"/>
  <c r="K9" i="2" s="1"/>
  <c r="K8" i="2" a="1"/>
  <c r="K8" i="2" s="1"/>
  <c r="K6" i="2" a="1"/>
  <c r="K6" i="2" s="1"/>
  <c r="K5" i="2" a="1"/>
  <c r="K5" i="2" s="1"/>
  <c r="X5" i="2" s="1" a="1"/>
  <c r="X5" i="2" s="1"/>
  <c r="K4" i="2" a="1"/>
  <c r="K4" i="2" s="1"/>
  <c r="K10" i="2" a="1"/>
  <c r="K10" i="2" s="1"/>
  <c r="K7" i="2" a="1"/>
  <c r="K7" i="2" s="1"/>
  <c r="K81" i="2" a="1"/>
  <c r="K81" i="2" s="1"/>
  <c r="X81" i="2" s="1" a="1"/>
  <c r="X81" i="2" s="1"/>
  <c r="K14" i="2" a="1"/>
  <c r="K14" i="2" s="1"/>
  <c r="K11" i="2" a="1"/>
  <c r="K11" i="2" s="1"/>
  <c r="K79" i="2" a="1"/>
  <c r="K79" i="2" s="1"/>
  <c r="W79" i="2" s="1"/>
  <c r="K76" i="2" a="1"/>
  <c r="K76" i="2" s="1"/>
  <c r="X76" i="2" s="1" a="1"/>
  <c r="X76" i="2" s="1"/>
  <c r="K15" i="2" a="1"/>
  <c r="K15" i="2" s="1"/>
  <c r="K73" i="2" a="1"/>
  <c r="K73" i="2" s="1"/>
  <c r="X73" i="2" s="1" a="1"/>
  <c r="X73" i="2" s="1"/>
  <c r="K12" i="2" a="1"/>
  <c r="K12" i="2" s="1"/>
  <c r="K83" i="2" a="1"/>
  <c r="K83" i="2" s="1"/>
  <c r="P83" i="2" s="1" a="1"/>
  <c r="P83" i="2" s="1"/>
  <c r="K80" i="2" a="1"/>
  <c r="K80" i="2" s="1"/>
  <c r="X80" i="2" s="1" a="1"/>
  <c r="X80" i="2" s="1"/>
  <c r="K77" i="2" a="1"/>
  <c r="K77" i="2" s="1"/>
  <c r="X77" i="2" s="1" a="1"/>
  <c r="X77" i="2" s="1"/>
  <c r="K74" i="2" a="1"/>
  <c r="K74" i="2" s="1"/>
  <c r="X74" i="2" s="1" a="1"/>
  <c r="X74" i="2" s="1"/>
  <c r="K13" i="2" a="1"/>
  <c r="K13" i="2" s="1"/>
  <c r="K84" i="2" a="1"/>
  <c r="K84" i="2" s="1"/>
  <c r="P84" i="2" s="1" a="1"/>
  <c r="P84" i="2" s="1"/>
  <c r="K78" i="2" a="1"/>
  <c r="K78" i="2" s="1"/>
  <c r="X78" i="2" s="1" a="1"/>
  <c r="X78" i="2" s="1"/>
  <c r="K75" i="2" a="1"/>
  <c r="K75" i="2" s="1"/>
  <c r="X75" i="2" s="1" a="1"/>
  <c r="X75" i="2" s="1"/>
  <c r="U83" i="2"/>
  <c r="U84" i="2"/>
  <c r="P82" i="2" a="1"/>
  <c r="P82" i="2" s="1"/>
  <c r="X82" i="2" a="1"/>
  <c r="X82" i="2" s="1"/>
  <c r="O82" i="2"/>
  <c r="Q82" i="2"/>
  <c r="R82" i="2"/>
  <c r="S82" i="2"/>
  <c r="U82" i="2" s="1"/>
  <c r="V82" i="2"/>
  <c r="W82" i="2"/>
  <c r="Y82" i="2"/>
  <c r="Z82" i="2"/>
  <c r="AA82" i="2"/>
  <c r="AC82" i="2" s="1"/>
  <c r="Y59" i="2" l="1"/>
  <c r="W59" i="2"/>
  <c r="AB59" i="2"/>
  <c r="Z59" i="2"/>
  <c r="X59" i="2" a="1"/>
  <c r="X59" i="2" s="1"/>
  <c r="AA59" i="2"/>
  <c r="O59" i="2"/>
  <c r="AB55" i="2"/>
  <c r="Z55" i="2"/>
  <c r="Y55" i="2"/>
  <c r="AA55" i="2"/>
  <c r="O55" i="2"/>
  <c r="W55" i="2"/>
  <c r="X55" i="2" a="1"/>
  <c r="X55" i="2" s="1"/>
  <c r="V69" i="2"/>
  <c r="S69" i="2"/>
  <c r="AA69" i="2"/>
  <c r="AB69" i="2"/>
  <c r="Q69" i="2"/>
  <c r="W69" i="2"/>
  <c r="P69" i="2" a="1"/>
  <c r="P69" i="2" s="1"/>
  <c r="O69" i="2"/>
  <c r="R69" i="2"/>
  <c r="AA56" i="2"/>
  <c r="X56" i="2" a="1"/>
  <c r="X56" i="2" s="1"/>
  <c r="Z56" i="2"/>
  <c r="AB56" i="2"/>
  <c r="W56" i="2"/>
  <c r="Y56" i="2"/>
  <c r="O56" i="2"/>
  <c r="W52" i="2"/>
  <c r="AB52" i="2"/>
  <c r="AA52" i="2"/>
  <c r="Z52" i="2"/>
  <c r="Y52" i="2"/>
  <c r="X52" i="2" a="1"/>
  <c r="X52" i="2" s="1"/>
  <c r="O52" i="2"/>
  <c r="AB61" i="2"/>
  <c r="P61" i="2" a="1"/>
  <c r="P61" i="2" s="1"/>
  <c r="W61" i="2"/>
  <c r="V61" i="2"/>
  <c r="AA61" i="2"/>
  <c r="R61" i="2"/>
  <c r="Q61" i="2"/>
  <c r="O61" i="2"/>
  <c r="S61" i="2"/>
  <c r="Q70" i="2"/>
  <c r="AA70" i="2"/>
  <c r="W70" i="2"/>
  <c r="R70" i="2"/>
  <c r="S70" i="2"/>
  <c r="V70" i="2"/>
  <c r="P70" i="2" a="1"/>
  <c r="P70" i="2" s="1"/>
  <c r="O70" i="2"/>
  <c r="AB70" i="2"/>
  <c r="AA79" i="2"/>
  <c r="X79" i="2" a="1"/>
  <c r="X79" i="2" s="1"/>
  <c r="AB62" i="2"/>
  <c r="S62" i="2"/>
  <c r="R62" i="2"/>
  <c r="AA62" i="2"/>
  <c r="P62" i="2" a="1"/>
  <c r="P62" i="2" s="1"/>
  <c r="Q62" i="2"/>
  <c r="O62" i="2"/>
  <c r="W62" i="2"/>
  <c r="V62" i="2"/>
  <c r="X68" i="2" a="1"/>
  <c r="X68" i="2" s="1"/>
  <c r="AA68" i="2"/>
  <c r="W68" i="2"/>
  <c r="AB68" i="2"/>
  <c r="Z68" i="2"/>
  <c r="O68" i="2"/>
  <c r="Y68" i="2"/>
  <c r="Z67" i="2"/>
  <c r="W67" i="2"/>
  <c r="O67" i="2"/>
  <c r="AA67" i="2"/>
  <c r="AB67" i="2"/>
  <c r="X67" i="2" a="1"/>
  <c r="X67" i="2" s="1"/>
  <c r="Y67" i="2"/>
  <c r="AB60" i="2"/>
  <c r="X60" i="2" a="1"/>
  <c r="X60" i="2" s="1"/>
  <c r="O60" i="2"/>
  <c r="W60" i="2"/>
  <c r="Y60" i="2"/>
  <c r="Z60" i="2"/>
  <c r="AA60" i="2"/>
  <c r="AB58" i="2"/>
  <c r="O58" i="2"/>
  <c r="Y58" i="2"/>
  <c r="W58" i="2"/>
  <c r="AA58" i="2"/>
  <c r="X58" i="2" a="1"/>
  <c r="X58" i="2" s="1"/>
  <c r="Z58" i="2"/>
  <c r="W57" i="2"/>
  <c r="Z57" i="2"/>
  <c r="AA57" i="2"/>
  <c r="X57" i="2" a="1"/>
  <c r="X57" i="2" s="1"/>
  <c r="O57" i="2"/>
  <c r="AB57" i="2"/>
  <c r="Y57" i="2"/>
  <c r="X53" i="2" a="1"/>
  <c r="X53" i="2" s="1"/>
  <c r="O53" i="2"/>
  <c r="Y53" i="2"/>
  <c r="Z53" i="2"/>
  <c r="AB53" i="2"/>
  <c r="W53" i="2"/>
  <c r="AA53" i="2"/>
  <c r="X66" i="2" a="1"/>
  <c r="X66" i="2" s="1"/>
  <c r="W66" i="2"/>
  <c r="Y66" i="2"/>
  <c r="O66" i="2"/>
  <c r="Z66" i="2"/>
  <c r="AB66" i="2"/>
  <c r="AA66" i="2"/>
  <c r="AB65" i="2"/>
  <c r="AA65" i="2"/>
  <c r="O65" i="2"/>
  <c r="X65" i="2" a="1"/>
  <c r="X65" i="2" s="1"/>
  <c r="Y65" i="2"/>
  <c r="W65" i="2"/>
  <c r="Z65" i="2"/>
  <c r="AA54" i="2"/>
  <c r="Y54" i="2"/>
  <c r="X54" i="2" a="1"/>
  <c r="X54" i="2" s="1"/>
  <c r="Z54" i="2"/>
  <c r="AB54" i="2"/>
  <c r="W54" i="2"/>
  <c r="O54" i="2"/>
  <c r="AB79" i="2"/>
  <c r="Z79" i="2"/>
  <c r="Y79" i="2"/>
  <c r="O79" i="2"/>
  <c r="Q48" i="2"/>
  <c r="P48" i="2" a="1"/>
  <c r="P48" i="2" s="1"/>
  <c r="R48" i="2"/>
  <c r="V48" i="2"/>
  <c r="W48" i="2"/>
  <c r="S48" i="2"/>
  <c r="AA48" i="2"/>
  <c r="O48" i="2"/>
  <c r="AB48" i="2"/>
  <c r="V49" i="2"/>
  <c r="W49" i="2"/>
  <c r="AA49" i="2"/>
  <c r="AB49" i="2"/>
  <c r="Q49" i="2"/>
  <c r="R49" i="2"/>
  <c r="S49" i="2"/>
  <c r="O49" i="2"/>
  <c r="P49" i="2" a="1"/>
  <c r="P49" i="2" s="1"/>
  <c r="Y41" i="2"/>
  <c r="O41" i="2"/>
  <c r="AA41" i="2"/>
  <c r="AB41" i="2"/>
  <c r="Z41" i="2"/>
  <c r="W41" i="2"/>
  <c r="X41" i="2" a="1"/>
  <c r="X41" i="2" s="1"/>
  <c r="Y44" i="2"/>
  <c r="W44" i="2"/>
  <c r="O44" i="2"/>
  <c r="AB44" i="2"/>
  <c r="AA44" i="2"/>
  <c r="X44" i="2" a="1"/>
  <c r="X44" i="2" s="1"/>
  <c r="Z44" i="2"/>
  <c r="Y42" i="2"/>
  <c r="W42" i="2"/>
  <c r="AB42" i="2"/>
  <c r="AA42" i="2"/>
  <c r="O42" i="2"/>
  <c r="X42" i="2" a="1"/>
  <c r="X42" i="2" s="1"/>
  <c r="Z42" i="2"/>
  <c r="W45" i="2"/>
  <c r="AA45" i="2"/>
  <c r="AB45" i="2"/>
  <c r="Y45" i="2"/>
  <c r="X45" i="2" a="1"/>
  <c r="X45" i="2" s="1"/>
  <c r="Z45" i="2"/>
  <c r="O45" i="2"/>
  <c r="AB43" i="2"/>
  <c r="W43" i="2"/>
  <c r="X43" i="2" a="1"/>
  <c r="X43" i="2" s="1"/>
  <c r="Y43" i="2"/>
  <c r="AA43" i="2"/>
  <c r="Z43" i="2"/>
  <c r="O43" i="2"/>
  <c r="Z38" i="2"/>
  <c r="X38" i="2" a="1"/>
  <c r="X38" i="2" s="1"/>
  <c r="Y38" i="2"/>
  <c r="AB38" i="2"/>
  <c r="W38" i="2"/>
  <c r="O38" i="2"/>
  <c r="AA38" i="2"/>
  <c r="W46" i="2"/>
  <c r="AA46" i="2"/>
  <c r="O46" i="2"/>
  <c r="X46" i="2" a="1"/>
  <c r="X46" i="2" s="1"/>
  <c r="Y46" i="2"/>
  <c r="Z46" i="2"/>
  <c r="AB46" i="2"/>
  <c r="W40" i="2"/>
  <c r="AB40" i="2"/>
  <c r="AA40" i="2"/>
  <c r="Y40" i="2"/>
  <c r="O40" i="2"/>
  <c r="X40" i="2" a="1"/>
  <c r="X40" i="2" s="1"/>
  <c r="Z40" i="2"/>
  <c r="X39" i="2" a="1"/>
  <c r="X39" i="2" s="1"/>
  <c r="Z39" i="2"/>
  <c r="O39" i="2"/>
  <c r="AB39" i="2"/>
  <c r="AA39" i="2"/>
  <c r="Y39" i="2"/>
  <c r="W39" i="2"/>
  <c r="O47" i="2"/>
  <c r="AB47" i="2"/>
  <c r="X47" i="2" a="1"/>
  <c r="X47" i="2" s="1"/>
  <c r="Z47" i="2"/>
  <c r="AA47" i="2"/>
  <c r="W47" i="2"/>
  <c r="Y47" i="2"/>
  <c r="W34" i="2"/>
  <c r="R34" i="2"/>
  <c r="S34" i="2"/>
  <c r="Q34" i="2"/>
  <c r="AB34" i="2"/>
  <c r="P34" i="2" a="1"/>
  <c r="P34" i="2" s="1"/>
  <c r="AA34" i="2"/>
  <c r="V34" i="2"/>
  <c r="O34" i="2"/>
  <c r="O35" i="2"/>
  <c r="S35" i="2"/>
  <c r="P35" i="2" a="1"/>
  <c r="P35" i="2" s="1"/>
  <c r="W35" i="2"/>
  <c r="R35" i="2"/>
  <c r="V35" i="2"/>
  <c r="AA35" i="2"/>
  <c r="Q35" i="2"/>
  <c r="AB35" i="2"/>
  <c r="Z32" i="2"/>
  <c r="O32" i="2"/>
  <c r="W32" i="2"/>
  <c r="X32" i="2" a="1"/>
  <c r="X32" i="2" s="1"/>
  <c r="AB32" i="2"/>
  <c r="AA32" i="2"/>
  <c r="Y32" i="2"/>
  <c r="R29" i="2"/>
  <c r="P29" i="2" a="1"/>
  <c r="P29" i="2" s="1"/>
  <c r="AB29" i="2"/>
  <c r="AA29" i="2"/>
  <c r="O29" i="2"/>
  <c r="S29" i="2"/>
  <c r="V29" i="2"/>
  <c r="Q29" i="2"/>
  <c r="W29" i="2"/>
  <c r="Z18" i="2"/>
  <c r="W18" i="2"/>
  <c r="AB18" i="2"/>
  <c r="Y18" i="2"/>
  <c r="O18" i="2"/>
  <c r="X18" i="2" a="1"/>
  <c r="X18" i="2" s="1"/>
  <c r="AA18" i="2"/>
  <c r="O22" i="2"/>
  <c r="W22" i="2"/>
  <c r="Z22" i="2"/>
  <c r="Y22" i="2"/>
  <c r="AB22" i="2"/>
  <c r="AA22" i="2"/>
  <c r="X22" i="2" a="1"/>
  <c r="X22" i="2" s="1"/>
  <c r="AA21" i="2"/>
  <c r="W21" i="2"/>
  <c r="AB21" i="2"/>
  <c r="Y21" i="2"/>
  <c r="O21" i="2"/>
  <c r="X21" i="2" a="1"/>
  <c r="X21" i="2" s="1"/>
  <c r="Z21" i="2"/>
  <c r="AB19" i="2"/>
  <c r="X19" i="2" a="1"/>
  <c r="X19" i="2" s="1"/>
  <c r="AA19" i="2"/>
  <c r="O19" i="2"/>
  <c r="Z19" i="2"/>
  <c r="W19" i="2"/>
  <c r="Y19" i="2"/>
  <c r="AA24" i="2"/>
  <c r="X24" i="2" a="1"/>
  <c r="X24" i="2" s="1"/>
  <c r="Z24" i="2"/>
  <c r="AB24" i="2"/>
  <c r="Y24" i="2"/>
  <c r="O24" i="2"/>
  <c r="W24" i="2"/>
  <c r="X23" i="2" a="1"/>
  <c r="X23" i="2" s="1"/>
  <c r="AB23" i="2"/>
  <c r="W23" i="2"/>
  <c r="O23" i="2"/>
  <c r="Y23" i="2"/>
  <c r="Z23" i="2"/>
  <c r="AA23" i="2"/>
  <c r="Y25" i="2"/>
  <c r="X25" i="2" a="1"/>
  <c r="X25" i="2" s="1"/>
  <c r="AB25" i="2"/>
  <c r="O25" i="2"/>
  <c r="Z25" i="2"/>
  <c r="W25" i="2"/>
  <c r="AA25" i="2"/>
  <c r="AA26" i="2"/>
  <c r="X26" i="2" a="1"/>
  <c r="X26" i="2" s="1"/>
  <c r="Y26" i="2"/>
  <c r="AB26" i="2"/>
  <c r="Z26" i="2"/>
  <c r="O26" i="2"/>
  <c r="W26" i="2"/>
  <c r="S28" i="2"/>
  <c r="V28" i="2"/>
  <c r="AA28" i="2"/>
  <c r="Q28" i="2"/>
  <c r="W28" i="2"/>
  <c r="P28" i="2" a="1"/>
  <c r="P28" i="2" s="1"/>
  <c r="O28" i="2"/>
  <c r="AB28" i="2"/>
  <c r="R28" i="2"/>
  <c r="Y20" i="2"/>
  <c r="AB20" i="2"/>
  <c r="X20" i="2" a="1"/>
  <c r="X20" i="2" s="1"/>
  <c r="W20" i="2"/>
  <c r="O20" i="2"/>
  <c r="Z20" i="2"/>
  <c r="AA20" i="2"/>
  <c r="W27" i="2"/>
  <c r="Y27" i="2"/>
  <c r="AA27" i="2"/>
  <c r="X27" i="2" a="1"/>
  <c r="X27" i="2" s="1"/>
  <c r="AB27" i="2"/>
  <c r="O27" i="2"/>
  <c r="Z27" i="2"/>
  <c r="P14" i="2" a="1"/>
  <c r="P14" i="2" s="1"/>
  <c r="O14" i="2"/>
  <c r="R14" i="2"/>
  <c r="AA14" i="2"/>
  <c r="Q14" i="2"/>
  <c r="AB14" i="2"/>
  <c r="S14" i="2"/>
  <c r="V14" i="2"/>
  <c r="W14" i="2"/>
  <c r="X12" i="2" a="1"/>
  <c r="X12" i="2" s="1"/>
  <c r="AB12" i="2"/>
  <c r="AA12" i="2"/>
  <c r="W12" i="2"/>
  <c r="O12" i="2"/>
  <c r="Y12" i="2"/>
  <c r="Z12" i="2"/>
  <c r="O7" i="2"/>
  <c r="AA7" i="2"/>
  <c r="W7" i="2"/>
  <c r="AB7" i="2"/>
  <c r="Z7" i="2"/>
  <c r="Y7" i="2"/>
  <c r="X7" i="2" a="1"/>
  <c r="X7" i="2" s="1"/>
  <c r="W10" i="2"/>
  <c r="AA10" i="2"/>
  <c r="X10" i="2" a="1"/>
  <c r="X10" i="2" s="1"/>
  <c r="AB10" i="2"/>
  <c r="O10" i="2"/>
  <c r="Y10" i="2"/>
  <c r="Z10" i="2"/>
  <c r="S15" i="2"/>
  <c r="Q15" i="2"/>
  <c r="AB15" i="2"/>
  <c r="O15" i="2"/>
  <c r="P15" i="2" a="1"/>
  <c r="P15" i="2" s="1"/>
  <c r="V15" i="2"/>
  <c r="R15" i="2"/>
  <c r="AA15" i="2"/>
  <c r="W15" i="2"/>
  <c r="AA11" i="2"/>
  <c r="AB11" i="2"/>
  <c r="O11" i="2"/>
  <c r="Y11" i="2"/>
  <c r="W11" i="2"/>
  <c r="Z11" i="2"/>
  <c r="X11" i="2" a="1"/>
  <c r="X11" i="2" s="1"/>
  <c r="AA4" i="2"/>
  <c r="O4" i="2"/>
  <c r="P33" i="2" s="1" a="1"/>
  <c r="P33" i="2" s="1"/>
  <c r="Q33" i="2" s="1"/>
  <c r="Y4" i="2"/>
  <c r="X4" i="2" a="1"/>
  <c r="X4" i="2" s="1"/>
  <c r="Z4" i="2"/>
  <c r="AB4" i="2"/>
  <c r="W4" i="2"/>
  <c r="Z5" i="2"/>
  <c r="Y5" i="2"/>
  <c r="AA5" i="2"/>
  <c r="AB5" i="2"/>
  <c r="W5" i="2"/>
  <c r="O5" i="2"/>
  <c r="W6" i="2"/>
  <c r="O6" i="2"/>
  <c r="Y6" i="2"/>
  <c r="Z6" i="2"/>
  <c r="AA6" i="2"/>
  <c r="X6" i="2" a="1"/>
  <c r="X6" i="2" s="1"/>
  <c r="AB6" i="2"/>
  <c r="O13" i="2"/>
  <c r="X13" i="2" a="1"/>
  <c r="X13" i="2" s="1"/>
  <c r="Z13" i="2"/>
  <c r="W13" i="2"/>
  <c r="AA13" i="2"/>
  <c r="AB13" i="2"/>
  <c r="Y13" i="2"/>
  <c r="X8" i="2" a="1"/>
  <c r="X8" i="2" s="1"/>
  <c r="AA8" i="2"/>
  <c r="Y8" i="2"/>
  <c r="O8" i="2"/>
  <c r="Z8" i="2"/>
  <c r="W8" i="2"/>
  <c r="AB8" i="2"/>
  <c r="Y9" i="2"/>
  <c r="AA9" i="2"/>
  <c r="O9" i="2"/>
  <c r="W9" i="2"/>
  <c r="Z9" i="2"/>
  <c r="AB9" i="2"/>
  <c r="X9" i="2" a="1"/>
  <c r="X9" i="2" s="1"/>
  <c r="Y78" i="2"/>
  <c r="W78" i="2"/>
  <c r="O78" i="2"/>
  <c r="AB78" i="2"/>
  <c r="AA78" i="2"/>
  <c r="Z78" i="2"/>
  <c r="O83" i="2"/>
  <c r="AB83" i="2"/>
  <c r="AA83" i="2"/>
  <c r="W83" i="2"/>
  <c r="V83" i="2"/>
  <c r="S83" i="2"/>
  <c r="R83" i="2"/>
  <c r="Q83" i="2"/>
  <c r="AA75" i="2"/>
  <c r="Z75" i="2"/>
  <c r="Y75" i="2"/>
  <c r="W75" i="2"/>
  <c r="O75" i="2"/>
  <c r="AB75" i="2"/>
  <c r="O73" i="2"/>
  <c r="AA73" i="2"/>
  <c r="AB73" i="2"/>
  <c r="Z73" i="2"/>
  <c r="Y73" i="2"/>
  <c r="W73" i="2"/>
  <c r="AB80" i="2"/>
  <c r="AA80" i="2"/>
  <c r="Z80" i="2"/>
  <c r="Y80" i="2"/>
  <c r="W80" i="2"/>
  <c r="O80" i="2"/>
  <c r="AA84" i="2"/>
  <c r="W84" i="2"/>
  <c r="V84" i="2"/>
  <c r="S84" i="2"/>
  <c r="R84" i="2"/>
  <c r="Q84" i="2"/>
  <c r="O84" i="2"/>
  <c r="AB84" i="2"/>
  <c r="O81" i="2"/>
  <c r="AB81" i="2"/>
  <c r="AA81" i="2"/>
  <c r="Z81" i="2"/>
  <c r="Y81" i="2"/>
  <c r="W81" i="2"/>
  <c r="AB74" i="2"/>
  <c r="AA74" i="2"/>
  <c r="Z74" i="2"/>
  <c r="Y74" i="2"/>
  <c r="W74" i="2"/>
  <c r="O74" i="2"/>
  <c r="AB77" i="2"/>
  <c r="Y77" i="2"/>
  <c r="AA77" i="2"/>
  <c r="Z77" i="2"/>
  <c r="W77" i="2"/>
  <c r="O77" i="2"/>
  <c r="AB76" i="2"/>
  <c r="AA76" i="2"/>
  <c r="Z76" i="2"/>
  <c r="Y76" i="2"/>
  <c r="W76" i="2"/>
  <c r="O76" i="2"/>
  <c r="R33" i="2" l="1"/>
  <c r="S33" i="2" s="1"/>
  <c r="U33" i="2" s="1"/>
  <c r="P56" i="2" a="1"/>
  <c r="P56" i="2" s="1"/>
  <c r="Q56" i="2" s="1"/>
  <c r="P52" i="2" a="1"/>
  <c r="P52" i="2" s="1"/>
  <c r="Q52" i="2" s="1"/>
  <c r="P55" i="2" a="1"/>
  <c r="P55" i="2" s="1"/>
  <c r="Q55" i="2" s="1"/>
  <c r="P59" i="2" a="1"/>
  <c r="P59" i="2" s="1"/>
  <c r="Q59" i="2" s="1"/>
  <c r="P66" i="2" a="1"/>
  <c r="P66" i="2" s="1"/>
  <c r="Q66" i="2" s="1"/>
  <c r="P58" i="2" a="1"/>
  <c r="P58" i="2" s="1"/>
  <c r="Q58" i="2" s="1"/>
  <c r="P53" i="2" a="1"/>
  <c r="P53" i="2" s="1"/>
  <c r="Q53" i="2" s="1"/>
  <c r="P65" i="2" a="1"/>
  <c r="P65" i="2" s="1"/>
  <c r="Q65" i="2" s="1"/>
  <c r="P54" i="2" a="1"/>
  <c r="P54" i="2" s="1"/>
  <c r="Q54" i="2" s="1"/>
  <c r="P60" i="2" a="1"/>
  <c r="P60" i="2" s="1"/>
  <c r="Q60" i="2" s="1"/>
  <c r="P68" i="2" a="1"/>
  <c r="P68" i="2" s="1"/>
  <c r="Q68" i="2" s="1"/>
  <c r="P67" i="2" a="1"/>
  <c r="P67" i="2" s="1"/>
  <c r="Q67" i="2" s="1"/>
  <c r="P57" i="2" a="1"/>
  <c r="P57" i="2" s="1"/>
  <c r="Q57" i="2" s="1"/>
  <c r="P32" i="2" a="1"/>
  <c r="P32" i="2" s="1"/>
  <c r="Q32" i="2" s="1"/>
  <c r="R32" i="2" s="1"/>
  <c r="P40" i="2" a="1"/>
  <c r="P40" i="2" s="1"/>
  <c r="Q40" i="2" s="1"/>
  <c r="P47" i="2" a="1"/>
  <c r="P47" i="2" s="1"/>
  <c r="Q47" i="2" s="1"/>
  <c r="P46" i="2" a="1"/>
  <c r="P46" i="2" s="1"/>
  <c r="Q46" i="2" s="1"/>
  <c r="P44" i="2" a="1"/>
  <c r="P44" i="2" s="1"/>
  <c r="Q44" i="2" s="1"/>
  <c r="P45" i="2" a="1"/>
  <c r="P45" i="2" s="1"/>
  <c r="Q45" i="2" s="1"/>
  <c r="P41" i="2" a="1"/>
  <c r="P41" i="2" s="1"/>
  <c r="Q41" i="2" s="1"/>
  <c r="P43" i="2" a="1"/>
  <c r="P43" i="2" s="1"/>
  <c r="Q43" i="2" s="1"/>
  <c r="P38" i="2" a="1"/>
  <c r="P38" i="2" s="1"/>
  <c r="Q38" i="2" s="1"/>
  <c r="P42" i="2" a="1"/>
  <c r="P42" i="2" s="1"/>
  <c r="Q42" i="2" s="1"/>
  <c r="P39" i="2" a="1"/>
  <c r="P39" i="2" s="1"/>
  <c r="Q39" i="2" s="1"/>
  <c r="P27" i="2" a="1"/>
  <c r="P27" i="2" s="1"/>
  <c r="Q27" i="2" s="1"/>
  <c r="P26" i="2" a="1"/>
  <c r="P26" i="2" s="1"/>
  <c r="Q26" i="2" s="1"/>
  <c r="P25" i="2" a="1"/>
  <c r="P25" i="2" s="1"/>
  <c r="Q25" i="2" s="1"/>
  <c r="P19" i="2" a="1"/>
  <c r="P19" i="2" s="1"/>
  <c r="Q19" i="2" s="1"/>
  <c r="P20" i="2" a="1"/>
  <c r="P20" i="2" s="1"/>
  <c r="Q20" i="2" s="1"/>
  <c r="P21" i="2" a="1"/>
  <c r="P21" i="2" s="1"/>
  <c r="Q21" i="2" s="1"/>
  <c r="P24" i="2" a="1"/>
  <c r="P24" i="2" s="1"/>
  <c r="Q24" i="2" s="1"/>
  <c r="P22" i="2" a="1"/>
  <c r="P22" i="2" s="1"/>
  <c r="Q22" i="2" s="1"/>
  <c r="P23" i="2" a="1"/>
  <c r="P23" i="2" s="1"/>
  <c r="Q23" i="2" s="1"/>
  <c r="P18" i="2" a="1"/>
  <c r="P18" i="2" s="1"/>
  <c r="Q18" i="2" s="1"/>
  <c r="P5" i="2" a="1"/>
  <c r="P5" i="2" s="1"/>
  <c r="Q5" i="2" s="1"/>
  <c r="R5" i="2" s="1"/>
  <c r="S5" i="2" s="1"/>
  <c r="U5" i="2" s="1"/>
  <c r="V5" i="2" s="1"/>
  <c r="AC5" i="2" s="1"/>
  <c r="P4" i="2" a="1"/>
  <c r="P4" i="2" s="1"/>
  <c r="Q4" i="2" s="1"/>
  <c r="R4" i="2" s="1"/>
  <c r="S4" i="2" s="1"/>
  <c r="U4" i="2" s="1"/>
  <c r="P12" i="2" a="1"/>
  <c r="P12" i="2" s="1"/>
  <c r="Q12" i="2" s="1"/>
  <c r="P80" i="2" a="1"/>
  <c r="P80" i="2" s="1"/>
  <c r="Q80" i="2" s="1"/>
  <c r="P7" i="2" a="1"/>
  <c r="P7" i="2" s="1"/>
  <c r="Q7" i="2" s="1"/>
  <c r="P78" i="2" a="1"/>
  <c r="P78" i="2" s="1"/>
  <c r="Q78" i="2" s="1"/>
  <c r="R78" i="2" s="1"/>
  <c r="S78" i="2" s="1"/>
  <c r="U78" i="2" s="1"/>
  <c r="V78" i="2" s="1"/>
  <c r="AC78" i="2" s="1"/>
  <c r="P75" i="2" a="1"/>
  <c r="P75" i="2" s="1"/>
  <c r="Q75" i="2" s="1"/>
  <c r="R75" i="2" s="1"/>
  <c r="S75" i="2" s="1"/>
  <c r="U75" i="2" s="1"/>
  <c r="V75" i="2" s="1"/>
  <c r="AC75" i="2" s="1"/>
  <c r="P8" i="2" a="1"/>
  <c r="P8" i="2" s="1"/>
  <c r="Q8" i="2" s="1"/>
  <c r="R8" i="2" s="1"/>
  <c r="S8" i="2" s="1"/>
  <c r="U8" i="2" s="1"/>
  <c r="V8" i="2" s="1"/>
  <c r="AC8" i="2" s="1"/>
  <c r="P81" i="2" a="1"/>
  <c r="P81" i="2" s="1"/>
  <c r="Q81" i="2" s="1"/>
  <c r="P74" i="2" a="1"/>
  <c r="P74" i="2" s="1"/>
  <c r="Q74" i="2" s="1"/>
  <c r="R74" i="2" s="1"/>
  <c r="S74" i="2" s="1"/>
  <c r="U74" i="2" s="1"/>
  <c r="V74" i="2" s="1"/>
  <c r="AC74" i="2" s="1"/>
  <c r="P11" i="2" a="1"/>
  <c r="P11" i="2" s="1"/>
  <c r="Q11" i="2" s="1"/>
  <c r="R11" i="2" s="1"/>
  <c r="S11" i="2" s="1"/>
  <c r="U11" i="2" s="1"/>
  <c r="V11" i="2" s="1"/>
  <c r="AC11" i="2" s="1"/>
  <c r="P76" i="2" a="1"/>
  <c r="P76" i="2" s="1"/>
  <c r="Q76" i="2" s="1"/>
  <c r="P79" i="2" a="1"/>
  <c r="P79" i="2" s="1"/>
  <c r="Q79" i="2" s="1"/>
  <c r="R79" i="2" s="1"/>
  <c r="P77" i="2" a="1"/>
  <c r="P77" i="2" s="1"/>
  <c r="Q77" i="2" s="1"/>
  <c r="R77" i="2" s="1"/>
  <c r="P73" i="2" a="1"/>
  <c r="P73" i="2" s="1"/>
  <c r="Q73" i="2" s="1"/>
  <c r="R73" i="2" s="1"/>
  <c r="P10" i="2" a="1"/>
  <c r="P10" i="2" s="1"/>
  <c r="Q10" i="2" s="1"/>
  <c r="P9" i="2" a="1"/>
  <c r="P9" i="2" s="1"/>
  <c r="Q9" i="2" s="1"/>
  <c r="R9" i="2" s="1"/>
  <c r="S9" i="2" s="1"/>
  <c r="U9" i="2" s="1"/>
  <c r="V9" i="2" s="1"/>
  <c r="AC9" i="2" s="1"/>
  <c r="P13" i="2" a="1"/>
  <c r="P13" i="2" s="1"/>
  <c r="Q13" i="2" s="1"/>
  <c r="P6" i="2" a="1"/>
  <c r="P6" i="2" s="1"/>
  <c r="Q6" i="2" s="1"/>
  <c r="V33" i="2" l="1"/>
  <c r="AC33" i="2" s="1"/>
  <c r="R58" i="2"/>
  <c r="S58" i="2" s="1"/>
  <c r="U58" i="2" s="1"/>
  <c r="R66" i="2"/>
  <c r="R59" i="2"/>
  <c r="R53" i="2"/>
  <c r="R55" i="2"/>
  <c r="S55" i="2" s="1"/>
  <c r="U55" i="2" s="1"/>
  <c r="V55" i="2" s="1"/>
  <c r="AC55" i="2" s="1"/>
  <c r="R57" i="2"/>
  <c r="S57" i="2" s="1"/>
  <c r="U57" i="2" s="1"/>
  <c r="R67" i="2"/>
  <c r="R52" i="2"/>
  <c r="S52" i="2" s="1"/>
  <c r="U52" i="2" s="1"/>
  <c r="V52" i="2" s="1"/>
  <c r="AC52" i="2" s="1"/>
  <c r="R68" i="2"/>
  <c r="S68" i="2" s="1"/>
  <c r="U68" i="2" s="1"/>
  <c r="R60" i="2"/>
  <c r="S60" i="2" s="1"/>
  <c r="U60" i="2" s="1"/>
  <c r="R56" i="2"/>
  <c r="S56" i="2" s="1"/>
  <c r="U56" i="2" s="1"/>
  <c r="V56" i="2" s="1"/>
  <c r="AC56" i="2" s="1"/>
  <c r="R54" i="2"/>
  <c r="S54" i="2" s="1"/>
  <c r="U54" i="2" s="1"/>
  <c r="R65" i="2"/>
  <c r="S65" i="2" s="1"/>
  <c r="U65" i="2" s="1"/>
  <c r="R39" i="2"/>
  <c r="S39" i="2" s="1"/>
  <c r="U39" i="2" s="1"/>
  <c r="R42" i="2"/>
  <c r="R38" i="2"/>
  <c r="R43" i="2"/>
  <c r="S43" i="2" s="1"/>
  <c r="U43" i="2" s="1"/>
  <c r="V43" i="2" s="1"/>
  <c r="AC43" i="2" s="1"/>
  <c r="R41" i="2"/>
  <c r="S41" i="2" s="1"/>
  <c r="U41" i="2" s="1"/>
  <c r="V41" i="2" s="1"/>
  <c r="AC41" i="2" s="1"/>
  <c r="R45" i="2"/>
  <c r="S45" i="2" s="1"/>
  <c r="U45" i="2" s="1"/>
  <c r="R44" i="2"/>
  <c r="S44" i="2" s="1"/>
  <c r="U44" i="2" s="1"/>
  <c r="V44" i="2" s="1"/>
  <c r="AC44" i="2" s="1"/>
  <c r="R46" i="2"/>
  <c r="R47" i="2"/>
  <c r="S47" i="2" s="1"/>
  <c r="U47" i="2" s="1"/>
  <c r="V47" i="2" s="1"/>
  <c r="AC47" i="2" s="1"/>
  <c r="R40" i="2"/>
  <c r="S40" i="2" s="1"/>
  <c r="U40" i="2" s="1"/>
  <c r="V40" i="2" s="1"/>
  <c r="AC40" i="2" s="1"/>
  <c r="S32" i="2"/>
  <c r="U32" i="2" s="1"/>
  <c r="V32" i="2" s="1"/>
  <c r="AC32" i="2" s="1"/>
  <c r="R18" i="2"/>
  <c r="R23" i="2"/>
  <c r="S23" i="2" s="1"/>
  <c r="U23" i="2" s="1"/>
  <c r="R22" i="2"/>
  <c r="S22" i="2" s="1"/>
  <c r="U22" i="2" s="1"/>
  <c r="V22" i="2" s="1"/>
  <c r="AC22" i="2" s="1"/>
  <c r="R24" i="2"/>
  <c r="S24" i="2" s="1"/>
  <c r="U24" i="2" s="1"/>
  <c r="R21" i="2"/>
  <c r="S21" i="2" s="1"/>
  <c r="U21" i="2" s="1"/>
  <c r="V21" i="2" s="1"/>
  <c r="AC21" i="2" s="1"/>
  <c r="R20" i="2"/>
  <c r="S20" i="2" s="1"/>
  <c r="U20" i="2" s="1"/>
  <c r="V20" i="2" s="1"/>
  <c r="AC20" i="2" s="1"/>
  <c r="R19" i="2"/>
  <c r="S19" i="2" s="1"/>
  <c r="U19" i="2" s="1"/>
  <c r="R25" i="2"/>
  <c r="R26" i="2"/>
  <c r="S26" i="2" s="1"/>
  <c r="U26" i="2" s="1"/>
  <c r="R27" i="2"/>
  <c r="S27" i="2" s="1"/>
  <c r="U27" i="2" s="1"/>
  <c r="S81" i="2"/>
  <c r="U81" i="2" s="1"/>
  <c r="V81" i="2" s="1"/>
  <c r="AC81" i="2" s="1"/>
  <c r="R81" i="2"/>
  <c r="R13" i="2"/>
  <c r="S13" i="2" s="1"/>
  <c r="U13" i="2" s="1"/>
  <c r="R6" i="2"/>
  <c r="S6" i="2" s="1"/>
  <c r="U6" i="2" s="1"/>
  <c r="R10" i="2"/>
  <c r="S10" i="2" s="1"/>
  <c r="U10" i="2" s="1"/>
  <c r="V10" i="2" s="1"/>
  <c r="AC10" i="2" s="1"/>
  <c r="R12" i="2"/>
  <c r="S12" i="2" s="1"/>
  <c r="U12" i="2" s="1"/>
  <c r="V12" i="2" s="1"/>
  <c r="AC12" i="2" s="1"/>
  <c r="V4" i="2"/>
  <c r="AC4" i="2" s="1"/>
  <c r="R7" i="2"/>
  <c r="S7" i="2" s="1"/>
  <c r="U7" i="2" s="1"/>
  <c r="V7" i="2" s="1"/>
  <c r="AC7" i="2" s="1"/>
  <c r="S73" i="2"/>
  <c r="U73" i="2" s="1"/>
  <c r="V73" i="2" s="1"/>
  <c r="AC73" i="2" s="1"/>
  <c r="S79" i="2"/>
  <c r="U79" i="2" s="1"/>
  <c r="V79" i="2" s="1"/>
  <c r="AC79" i="2" s="1"/>
  <c r="R80" i="2"/>
  <c r="S80" i="2" s="1"/>
  <c r="U80" i="2" s="1"/>
  <c r="V80" i="2" s="1"/>
  <c r="AC80" i="2" s="1"/>
  <c r="R76" i="2"/>
  <c r="S76" i="2" s="1"/>
  <c r="U76" i="2" s="1"/>
  <c r="V76" i="2" s="1"/>
  <c r="AC76" i="2" s="1"/>
  <c r="S77" i="2"/>
  <c r="U77" i="2" s="1"/>
  <c r="V77" i="2" s="1"/>
  <c r="AC77" i="2" s="1"/>
  <c r="S67" i="2" l="1"/>
  <c r="U67" i="2" s="1"/>
  <c r="V67" i="2" s="1"/>
  <c r="AC67" i="2" s="1"/>
  <c r="V65" i="2"/>
  <c r="AC65" i="2" s="1"/>
  <c r="V54" i="2"/>
  <c r="AC54" i="2" s="1"/>
  <c r="V58" i="2"/>
  <c r="AC58" i="2" s="1"/>
  <c r="V68" i="2"/>
  <c r="AC68" i="2" s="1"/>
  <c r="S59" i="2"/>
  <c r="U59" i="2" s="1"/>
  <c r="V59" i="2" s="1"/>
  <c r="AC59" i="2" s="1"/>
  <c r="S66" i="2"/>
  <c r="U66" i="2" s="1"/>
  <c r="V66" i="2" s="1"/>
  <c r="AC66" i="2" s="1"/>
  <c r="V60" i="2"/>
  <c r="AC60" i="2" s="1"/>
  <c r="V57" i="2"/>
  <c r="AC57" i="2" s="1"/>
  <c r="S53" i="2"/>
  <c r="U53" i="2" s="1"/>
  <c r="V53" i="2" s="1"/>
  <c r="AC53" i="2" s="1"/>
  <c r="V45" i="2"/>
  <c r="AC45" i="2" s="1"/>
  <c r="S38" i="2"/>
  <c r="U38" i="2" s="1"/>
  <c r="V38" i="2" s="1"/>
  <c r="AC38" i="2" s="1"/>
  <c r="S46" i="2"/>
  <c r="U46" i="2" s="1"/>
  <c r="V46" i="2" s="1"/>
  <c r="AC46" i="2" s="1"/>
  <c r="S42" i="2"/>
  <c r="U42" i="2" s="1"/>
  <c r="V42" i="2" s="1"/>
  <c r="AC42" i="2" s="1"/>
  <c r="V39" i="2"/>
  <c r="AC39" i="2" s="1"/>
  <c r="V24" i="2"/>
  <c r="AC24" i="2" s="1"/>
  <c r="V26" i="2"/>
  <c r="AC26" i="2" s="1"/>
  <c r="V19" i="2"/>
  <c r="AC19" i="2" s="1"/>
  <c r="V27" i="2"/>
  <c r="AC27" i="2" s="1"/>
  <c r="S18" i="2"/>
  <c r="U18" i="2" s="1"/>
  <c r="S25" i="2"/>
  <c r="U25" i="2" s="1"/>
  <c r="V25" i="2" s="1"/>
  <c r="AC25" i="2" s="1"/>
  <c r="V23" i="2"/>
  <c r="AC23" i="2" s="1"/>
  <c r="V6" i="2"/>
  <c r="AC6" i="2" s="1"/>
  <c r="V13" i="2"/>
  <c r="AC13" i="2" s="1"/>
  <c r="V18" i="2" l="1"/>
  <c r="AC18" i="2" s="1"/>
  <c r="X69" i="2" l="1" a="1"/>
  <c r="X69" i="2" s="1"/>
  <c r="X70" i="2" a="1"/>
  <c r="X70" i="2" s="1"/>
  <c r="X62" i="2" a="1"/>
  <c r="X62" i="2" s="1"/>
  <c r="X61" i="2" a="1"/>
  <c r="X61" i="2" s="1"/>
  <c r="X49" i="2" a="1"/>
  <c r="X49" i="2" s="1"/>
  <c r="X48" i="2" a="1"/>
  <c r="X48" i="2" s="1"/>
  <c r="X34" i="2" a="1"/>
  <c r="X34" i="2" s="1"/>
  <c r="X35" i="2" a="1"/>
  <c r="X35" i="2" s="1"/>
  <c r="X29" i="2" a="1"/>
  <c r="X29" i="2" s="1"/>
  <c r="X28" i="2" a="1"/>
  <c r="X28" i="2" s="1"/>
  <c r="X84" i="2" a="1"/>
  <c r="X84" i="2" s="1"/>
  <c r="X15" i="2" a="1"/>
  <c r="X15" i="2" s="1"/>
  <c r="X83" i="2" a="1"/>
  <c r="X83" i="2" s="1"/>
  <c r="X14" i="2" a="1"/>
  <c r="X14" i="2" s="1"/>
  <c r="Y61" i="2" l="1"/>
  <c r="Z61" i="2" s="1"/>
  <c r="AC61" i="2" s="1"/>
  <c r="Y62" i="2"/>
  <c r="Z62" i="2" s="1"/>
  <c r="AC62" i="2" s="1"/>
  <c r="Y70" i="2"/>
  <c r="Z70" i="2" s="1"/>
  <c r="AC70" i="2" s="1"/>
  <c r="Y69" i="2"/>
  <c r="Z69" i="2" s="1"/>
  <c r="AC69" i="2" s="1"/>
  <c r="Y48" i="2"/>
  <c r="Z48" i="2" s="1"/>
  <c r="AC48" i="2" s="1"/>
  <c r="Y49" i="2"/>
  <c r="Z49" i="2" s="1"/>
  <c r="AC49" i="2" s="1"/>
  <c r="Y35" i="2"/>
  <c r="Z35" i="2" s="1"/>
  <c r="AC35" i="2" s="1"/>
  <c r="Y34" i="2"/>
  <c r="Z34" i="2" s="1"/>
  <c r="AC34" i="2" s="1"/>
  <c r="Y28" i="2"/>
  <c r="Z28" i="2" s="1"/>
  <c r="AC28" i="2" s="1"/>
  <c r="Y29" i="2"/>
  <c r="Z29" i="2" s="1"/>
  <c r="AC29" i="2" s="1"/>
  <c r="Y15" i="2"/>
  <c r="Z15" i="2" s="1"/>
  <c r="AC15" i="2" s="1"/>
  <c r="Y14" i="2"/>
  <c r="Z14" i="2" s="1"/>
  <c r="AC14" i="2" s="1"/>
  <c r="Y83" i="2"/>
  <c r="Z83" i="2" s="1"/>
  <c r="AC83" i="2" s="1"/>
  <c r="Y84" i="2"/>
  <c r="Z84" i="2" s="1"/>
  <c r="AC84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<sst xmlns="http://schemas.openxmlformats.org/spreadsheetml/2006/main" count="486" uniqueCount="99">
  <si>
    <t>Re-compiled Data</t>
  </si>
  <si>
    <t>For Reference Only</t>
  </si>
  <si>
    <t>Re-pricing Calculations</t>
  </si>
  <si>
    <t>UCI</t>
  </si>
  <si>
    <t>RCAbrv</t>
  </si>
  <si>
    <t>Vendor</t>
  </si>
  <si>
    <t>SvsCd</t>
  </si>
  <si>
    <t>Sub</t>
  </si>
  <si>
    <t>ServDate</t>
  </si>
  <si>
    <t>Records</t>
  </si>
  <si>
    <t>Payment</t>
  </si>
  <si>
    <t>Units</t>
  </si>
  <si>
    <t>Year
(2)</t>
  </si>
  <si>
    <t>Flag
(3)</t>
  </si>
  <si>
    <t>January 2020 Rate Increase
(4)</t>
  </si>
  <si>
    <t>Bridge Funding
(5)</t>
  </si>
  <si>
    <t>2019 Adjusted Rate
(9)</t>
  </si>
  <si>
    <t>2019 Adjusted Rate w/o BF
(10)</t>
  </si>
  <si>
    <t>2019 Adjusted Rate w/ Rate Inc &amp; BF
(11)</t>
  </si>
  <si>
    <t>2019 Final Rate
(14)</t>
  </si>
  <si>
    <t>2020 Adjusted Rate
(17)</t>
  </si>
  <si>
    <t>2020 Final Rate
(18)</t>
  </si>
  <si>
    <t>2019 Adjusted Payment
(19)</t>
  </si>
  <si>
    <t>Total Adjusted Payment
(21)</t>
  </si>
  <si>
    <t>Effective Payment Rate for 2019 Records
(7)</t>
  </si>
  <si>
    <t>Mode of Included 2019 Payment Records
(8)</t>
  </si>
  <si>
    <t>Post-Bridge Funding May 2020 Rate
(6)</t>
  </si>
  <si>
    <t>Minimum Wage Adjusted Rate (if applicable)
(12)</t>
  </si>
  <si>
    <t>2019 Adjusted Rate w/ Rate Inc, BF &amp; MW
(13)</t>
  </si>
  <si>
    <t>Effective Payment Rate for 2020 Payment Records
(15)</t>
  </si>
  <si>
    <t>Mode of 2019 Adjusted Rate w/ Rate Inc, BF &amp; MW
(16)</t>
  </si>
  <si>
    <t>2020 Adjusted Payment
(20)</t>
  </si>
  <si>
    <t>Step 17 Preserves higher rate</t>
  </si>
  <si>
    <t>ABC456</t>
  </si>
  <si>
    <t>XYZ456</t>
  </si>
  <si>
    <t>SVC</t>
  </si>
  <si>
    <t>SUB2</t>
  </si>
  <si>
    <t>ACRC</t>
  </si>
  <si>
    <t>Blank</t>
  </si>
  <si>
    <t>ABC789</t>
  </si>
  <si>
    <t>XYZ789</t>
  </si>
  <si>
    <t>SGPRC</t>
  </si>
  <si>
    <t>ABC258</t>
  </si>
  <si>
    <t>XYZ258</t>
  </si>
  <si>
    <t>FDLRC</t>
  </si>
  <si>
    <t>SUB3</t>
  </si>
  <si>
    <t>ABC369</t>
  </si>
  <si>
    <t>XYZ369</t>
  </si>
  <si>
    <t>SUB4</t>
  </si>
  <si>
    <t>RCOC</t>
  </si>
  <si>
    <t>ABC159</t>
  </si>
  <si>
    <t>SDRC</t>
  </si>
  <si>
    <t>XYZ159</t>
  </si>
  <si>
    <t>ABC483</t>
  </si>
  <si>
    <t>SARC</t>
  </si>
  <si>
    <t>XYZ483</t>
  </si>
  <si>
    <t>ABC726</t>
  </si>
  <si>
    <t>XYZ726</t>
  </si>
  <si>
    <t>RCEB</t>
  </si>
  <si>
    <t>SUB5</t>
  </si>
  <si>
    <t>Effective rate(s) is(are) higher than anticipated</t>
  </si>
  <si>
    <t>Effective rate(s) is(are) lower than anticipated</t>
  </si>
  <si>
    <t>Effective rate(s) is(are) substantially lower than anticipated</t>
  </si>
  <si>
    <t>No unexpected aberrations in effective rates</t>
  </si>
  <si>
    <t>Lower rates in March and April due to lack of bridge funding; they are 'priced-up' based on the mode</t>
  </si>
  <si>
    <t>Steps 9, 11 &amp; 13 maintain substantially low rates (Jan rate increase is included, no removal of Bridge Funding)</t>
  </si>
  <si>
    <t>Step 17 raises lower 2020 rates to repriced 2019 rate (appears 8.2 percent was not applied)</t>
  </si>
  <si>
    <t>Step 9 raises lower rate to the mode</t>
  </si>
  <si>
    <t>Step 9 preserves higher rate</t>
  </si>
  <si>
    <t>Steps 13 and 17 preserve higher rates (overwriting rate from minimum wage file)</t>
  </si>
  <si>
    <t>s</t>
  </si>
  <si>
    <t>Regional_Center</t>
  </si>
  <si>
    <t>Vendor_ID</t>
  </si>
  <si>
    <t>Payments</t>
  </si>
  <si>
    <t>Average Monthly Rate</t>
  </si>
  <si>
    <t>Member Months</t>
  </si>
  <si>
    <t>Total Payments</t>
  </si>
  <si>
    <t>KRC</t>
  </si>
  <si>
    <t>March 2019 - February 2020</t>
  </si>
  <si>
    <t>Monthly Average Rate</t>
  </si>
  <si>
    <t>Ct. of Member Months</t>
  </si>
  <si>
    <t>Sub1</t>
  </si>
  <si>
    <t>Sub2</t>
  </si>
  <si>
    <t>ABC123</t>
  </si>
  <si>
    <t>ABC124</t>
  </si>
  <si>
    <t>ABC125</t>
  </si>
  <si>
    <t>ABC126</t>
  </si>
  <si>
    <t>ABC127</t>
  </si>
  <si>
    <t>ABC128</t>
  </si>
  <si>
    <t>ABC129</t>
  </si>
  <si>
    <t>ABC130</t>
  </si>
  <si>
    <t>ABC131</t>
  </si>
  <si>
    <t>In the actual vendor-level files, these records would tie to the prepriced payment records</t>
  </si>
  <si>
    <t>ABC132</t>
  </si>
  <si>
    <t>ABC133</t>
  </si>
  <si>
    <t>ABC134</t>
  </si>
  <si>
    <t>ABC135</t>
  </si>
  <si>
    <t>ABC136</t>
  </si>
  <si>
    <t>ABC137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</si>
</sst>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%"/>
    <numFmt numFmtId="166" formatCode="&quot;$&quot;#,##0"/>
    <numFmt numFmtId="167" formatCode="[$-409]mmm\-yy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4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rgb="FFC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Fill="1"/>
    <xf numFmtId="164" fontId="3" fillId="0" borderId="1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15" fontId="3" fillId="0" borderId="0" xfId="0" applyNumberFormat="1" applyFont="1"/>
    <xf numFmtId="0" fontId="3" fillId="0" borderId="1" xfId="0" applyFont="1" applyBorder="1"/>
    <xf numFmtId="165" fontId="3" fillId="0" borderId="0" xfId="0" applyNumberFormat="1" applyFont="1" applyAlignment="1">
      <alignment horizontal="right" indent="1"/>
    </xf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0" xfId="0" quotePrefix="1" applyNumberFormat="1" applyFont="1"/>
    <xf numFmtId="0" fontId="4" fillId="0" borderId="0" xfId="0" applyFont="1"/>
    <xf numFmtId="0" fontId="5" fillId="0" borderId="0" xfId="0" applyFont="1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right"/>
    </xf>
    <xf numFmtId="0" fontId="1" fillId="0" borderId="0" xfId="0" applyFont="1"/>
    <xf numFmtId="167" fontId="1" fillId="0" borderId="4" xfId="0" applyNumberFormat="1" applyFont="1" applyBorder="1"/>
    <xf numFmtId="167" fontId="1" fillId="0" borderId="3" xfId="0" applyNumberFormat="1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166" fontId="1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78</xdr:row>
      <xdr:rowOff>152400</xdr:rowOff>
    </xdr:from>
    <xdr:to>
      <xdr:col>22</xdr:col>
      <xdr:colOff>247650</xdr:colOff>
      <xdr:row>82</xdr:row>
      <xdr:rowOff>15875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3B3591EE-7F22-4FC2-906C-1D9AB1988668}"/>
            </a:ext>
          </a:extLst>
        </xdr:cNvPr>
        <xdr:cNvSpPr/>
      </xdr:nvSpPr>
      <xdr:spPr>
        <a:xfrm>
          <a:off x="8610600" y="6172200"/>
          <a:ext cx="5048250" cy="5111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85725</xdr:colOff>
      <xdr:row>72</xdr:row>
      <xdr:rowOff>76200</xdr:rowOff>
    </xdr:from>
    <xdr:to>
      <xdr:col>18</xdr:col>
      <xdr:colOff>161925</xdr:colOff>
      <xdr:row>78</xdr:row>
      <xdr:rowOff>152400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A30E101B-8728-4428-984E-0DE85FEC1690}"/>
            </a:ext>
          </a:extLst>
        </xdr:cNvPr>
        <xdr:cNvCxnSpPr>
          <a:endCxn id="28" idx="0"/>
        </xdr:cNvCxnSpPr>
      </xdr:nvCxnSpPr>
      <xdr:spPr>
        <a:xfrm>
          <a:off x="9229725" y="5124450"/>
          <a:ext cx="1905000" cy="104775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79375</xdr:colOff>
      <xdr:row>22</xdr:row>
      <xdr:rowOff>142875</xdr:rowOff>
    </xdr:from>
    <xdr:to>
      <xdr:col>17</xdr:col>
      <xdr:colOff>150812</xdr:colOff>
      <xdr:row>26</xdr:row>
      <xdr:rowOff>9525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42BB2112-BEBA-4659-B00A-FA814F001F69}"/>
            </a:ext>
          </a:extLst>
        </xdr:cNvPr>
        <xdr:cNvSpPr/>
      </xdr:nvSpPr>
      <xdr:spPr>
        <a:xfrm>
          <a:off x="8613775" y="4695825"/>
          <a:ext cx="1900237" cy="5143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238125</xdr:colOff>
      <xdr:row>17</xdr:row>
      <xdr:rowOff>7938</xdr:rowOff>
    </xdr:from>
    <xdr:to>
      <xdr:col>15</xdr:col>
      <xdr:colOff>420687</xdr:colOff>
      <xdr:row>22</xdr:row>
      <xdr:rowOff>142875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6CF5B824-F85D-4F50-852D-97C054272D06}"/>
            </a:ext>
          </a:extLst>
        </xdr:cNvPr>
        <xdr:cNvCxnSpPr>
          <a:endCxn id="18" idx="0"/>
        </xdr:cNvCxnSpPr>
      </xdr:nvCxnSpPr>
      <xdr:spPr>
        <a:xfrm>
          <a:off x="9382125" y="3751263"/>
          <a:ext cx="182562" cy="94456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30</xdr:row>
      <xdr:rowOff>9525</xdr:rowOff>
    </xdr:from>
    <xdr:to>
      <xdr:col>21</xdr:col>
      <xdr:colOff>119062</xdr:colOff>
      <xdr:row>34</xdr:row>
      <xdr:rowOff>25400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26567A0E-ECE3-427C-A59A-F04F9EB79D5C}"/>
            </a:ext>
          </a:extLst>
        </xdr:cNvPr>
        <xdr:cNvSpPr/>
      </xdr:nvSpPr>
      <xdr:spPr>
        <a:xfrm>
          <a:off x="11020425" y="14639925"/>
          <a:ext cx="1900237" cy="5111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71438</xdr:colOff>
      <xdr:row>46</xdr:row>
      <xdr:rowOff>71437</xdr:rowOff>
    </xdr:from>
    <xdr:to>
      <xdr:col>25</xdr:col>
      <xdr:colOff>142875</xdr:colOff>
      <xdr:row>49</xdr:row>
      <xdr:rowOff>96837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14169877-3D6D-4A43-BA5C-74D88C105CE8}"/>
            </a:ext>
          </a:extLst>
        </xdr:cNvPr>
        <xdr:cNvSpPr/>
      </xdr:nvSpPr>
      <xdr:spPr>
        <a:xfrm>
          <a:off x="13482638" y="19912012"/>
          <a:ext cx="1900237" cy="5111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254000</xdr:colOff>
      <xdr:row>36</xdr:row>
      <xdr:rowOff>166687</xdr:rowOff>
    </xdr:from>
    <xdr:to>
      <xdr:col>23</xdr:col>
      <xdr:colOff>412750</xdr:colOff>
      <xdr:row>46</xdr:row>
      <xdr:rowOff>71437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D2A0B55B-BF78-4E89-B8B1-3C53756ACA23}"/>
            </a:ext>
          </a:extLst>
        </xdr:cNvPr>
        <xdr:cNvCxnSpPr>
          <a:endCxn id="30" idx="0"/>
        </xdr:cNvCxnSpPr>
      </xdr:nvCxnSpPr>
      <xdr:spPr>
        <a:xfrm>
          <a:off x="14274800" y="18378487"/>
          <a:ext cx="158750" cy="153352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39688</xdr:colOff>
      <xdr:row>67</xdr:row>
      <xdr:rowOff>79375</xdr:rowOff>
    </xdr:from>
    <xdr:to>
      <xdr:col>25</xdr:col>
      <xdr:colOff>111125</xdr:colOff>
      <xdr:row>70</xdr:row>
      <xdr:rowOff>104775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5AA8EF71-4B70-43B3-9B54-04452478D9EB}"/>
            </a:ext>
          </a:extLst>
        </xdr:cNvPr>
        <xdr:cNvSpPr/>
      </xdr:nvSpPr>
      <xdr:spPr>
        <a:xfrm>
          <a:off x="13450888" y="23320375"/>
          <a:ext cx="1900237" cy="5111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265112</xdr:colOff>
      <xdr:row>64</xdr:row>
      <xdr:rowOff>0</xdr:rowOff>
    </xdr:from>
    <xdr:to>
      <xdr:col>23</xdr:col>
      <xdr:colOff>381000</xdr:colOff>
      <xdr:row>67</xdr:row>
      <xdr:rowOff>79375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EC73913C-EE22-48C8-960E-644C397A75D7}"/>
            </a:ext>
          </a:extLst>
        </xdr:cNvPr>
        <xdr:cNvCxnSpPr>
          <a:endCxn id="32" idx="0"/>
        </xdr:cNvCxnSpPr>
      </xdr:nvCxnSpPr>
      <xdr:spPr>
        <a:xfrm>
          <a:off x="14285912" y="22755225"/>
          <a:ext cx="115888" cy="56515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9526</xdr:colOff>
      <xdr:row>51</xdr:row>
      <xdr:rowOff>133350</xdr:rowOff>
    </xdr:from>
    <xdr:to>
      <xdr:col>17</xdr:col>
      <xdr:colOff>247650</xdr:colOff>
      <xdr:row>54</xdr:row>
      <xdr:rowOff>158750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A810770C-F313-4316-A6E8-C6E32DC74255}"/>
            </a:ext>
          </a:extLst>
        </xdr:cNvPr>
        <xdr:cNvSpPr/>
      </xdr:nvSpPr>
      <xdr:spPr>
        <a:xfrm>
          <a:off x="8543926" y="9248775"/>
          <a:ext cx="2066924" cy="5111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438150</xdr:colOff>
      <xdr:row>2</xdr:row>
      <xdr:rowOff>152400</xdr:rowOff>
    </xdr:from>
    <xdr:to>
      <xdr:col>17</xdr:col>
      <xdr:colOff>352425</xdr:colOff>
      <xdr:row>5</xdr:row>
      <xdr:rowOff>47625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DCAD31E0-A59D-4C4B-88EB-2F0E5F524362}"/>
            </a:ext>
          </a:extLst>
        </xdr:cNvPr>
        <xdr:cNvSpPr/>
      </xdr:nvSpPr>
      <xdr:spPr>
        <a:xfrm>
          <a:off x="8362950" y="1447800"/>
          <a:ext cx="2352675" cy="3905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571500</xdr:colOff>
      <xdr:row>5</xdr:row>
      <xdr:rowOff>114300</xdr:rowOff>
    </xdr:from>
    <xdr:to>
      <xdr:col>19</xdr:col>
      <xdr:colOff>180976</xdr:colOff>
      <xdr:row>8</xdr:row>
      <xdr:rowOff>19050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1831A8E-2662-476D-B543-F73C95E5FD0D}"/>
            </a:ext>
          </a:extLst>
        </xdr:cNvPr>
        <xdr:cNvSpPr/>
      </xdr:nvSpPr>
      <xdr:spPr>
        <a:xfrm>
          <a:off x="10325100" y="1905000"/>
          <a:ext cx="1438276" cy="3905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190500</xdr:colOff>
      <xdr:row>4</xdr:row>
      <xdr:rowOff>85725</xdr:rowOff>
    </xdr:from>
    <xdr:to>
      <xdr:col>22</xdr:col>
      <xdr:colOff>457200</xdr:colOff>
      <xdr:row>6</xdr:row>
      <xdr:rowOff>142875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31B4323C-EE92-4BC8-8006-6528184EA612}"/>
            </a:ext>
          </a:extLst>
        </xdr:cNvPr>
        <xdr:cNvCxnSpPr/>
      </xdr:nvCxnSpPr>
      <xdr:spPr>
        <a:xfrm flipV="1">
          <a:off x="11772900" y="1714500"/>
          <a:ext cx="2095500" cy="3810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20</xdr:col>
      <xdr:colOff>219076</xdr:colOff>
      <xdr:row>10</xdr:row>
      <xdr:rowOff>66675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BDD594D-9461-47E8-9CEE-3EB1B7B0B5C2}"/>
            </a:ext>
          </a:extLst>
        </xdr:cNvPr>
        <xdr:cNvSpPr/>
      </xdr:nvSpPr>
      <xdr:spPr>
        <a:xfrm>
          <a:off x="10972800" y="2286000"/>
          <a:ext cx="1438276" cy="3905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200025</xdr:colOff>
      <xdr:row>6</xdr:row>
      <xdr:rowOff>76200</xdr:rowOff>
    </xdr:from>
    <xdr:to>
      <xdr:col>22</xdr:col>
      <xdr:colOff>561975</xdr:colOff>
      <xdr:row>9</xdr:row>
      <xdr:rowOff>9526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6BF7413F-0478-4B14-B773-2647E04F0A06}"/>
            </a:ext>
          </a:extLst>
        </xdr:cNvPr>
        <xdr:cNvCxnSpPr/>
      </xdr:nvCxnSpPr>
      <xdr:spPr>
        <a:xfrm flipV="1">
          <a:off x="12392025" y="2028825"/>
          <a:ext cx="1581150" cy="419101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581025</xdr:colOff>
      <xdr:row>3</xdr:row>
      <xdr:rowOff>95250</xdr:rowOff>
    </xdr:from>
    <xdr:to>
      <xdr:col>28</xdr:col>
      <xdr:colOff>104775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5B5680-4CB6-47A9-8A35-21646994DC00}"/>
            </a:ext>
          </a:extLst>
        </xdr:cNvPr>
        <xdr:cNvSpPr txBox="1"/>
      </xdr:nvSpPr>
      <xdr:spPr>
        <a:xfrm>
          <a:off x="13992225" y="1562100"/>
          <a:ext cx="31813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Rate adjusted to account for Jan. 2020 rate increase</a:t>
          </a:r>
        </a:p>
      </xdr:txBody>
    </xdr:sp>
    <xdr:clientData/>
  </xdr:twoCellAnchor>
  <xdr:twoCellAnchor>
    <xdr:from>
      <xdr:col>22</xdr:col>
      <xdr:colOff>561975</xdr:colOff>
      <xdr:row>5</xdr:row>
      <xdr:rowOff>123825</xdr:rowOff>
    </xdr:from>
    <xdr:to>
      <xdr:col>28</xdr:col>
      <xdr:colOff>85725</xdr:colOff>
      <xdr:row>7</xdr:row>
      <xdr:rowOff>19050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83BF04A-3D67-4811-9935-30B3CA6D26FA}"/>
            </a:ext>
          </a:extLst>
        </xdr:cNvPr>
        <xdr:cNvSpPr txBox="1"/>
      </xdr:nvSpPr>
      <xdr:spPr>
        <a:xfrm>
          <a:off x="13973175" y="1914525"/>
          <a:ext cx="31813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Rate adjusted to account for minimum wage adjustment</a:t>
          </a:r>
        </a:p>
      </xdr:txBody>
    </xdr:sp>
    <xdr:clientData/>
  </xdr:twoCellAnchor>
  <xdr:twoCellAnchor>
    <xdr:from>
      <xdr:col>19</xdr:col>
      <xdr:colOff>552450</xdr:colOff>
      <xdr:row>9</xdr:row>
      <xdr:rowOff>133350</xdr:rowOff>
    </xdr:from>
    <xdr:to>
      <xdr:col>22</xdr:col>
      <xdr:colOff>161926</xdr:colOff>
      <xdr:row>12</xdr:row>
      <xdr:rowOff>38100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56EEA61F-2245-4345-B0A0-9669C9767C9A}"/>
            </a:ext>
          </a:extLst>
        </xdr:cNvPr>
        <xdr:cNvSpPr/>
      </xdr:nvSpPr>
      <xdr:spPr>
        <a:xfrm>
          <a:off x="12134850" y="2571750"/>
          <a:ext cx="1438276" cy="3905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171450</xdr:colOff>
      <xdr:row>8</xdr:row>
      <xdr:rowOff>66675</xdr:rowOff>
    </xdr:from>
    <xdr:to>
      <xdr:col>22</xdr:col>
      <xdr:colOff>600075</xdr:colOff>
      <xdr:row>10</xdr:row>
      <xdr:rowOff>152402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8D548647-352E-42FF-8E17-2AAD3113DD2C}"/>
            </a:ext>
          </a:extLst>
        </xdr:cNvPr>
        <xdr:cNvCxnSpPr/>
      </xdr:nvCxnSpPr>
      <xdr:spPr>
        <a:xfrm flipV="1">
          <a:off x="13582650" y="2343150"/>
          <a:ext cx="428625" cy="409577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7</xdr:row>
      <xdr:rowOff>133350</xdr:rowOff>
    </xdr:from>
    <xdr:to>
      <xdr:col>28</xdr:col>
      <xdr:colOff>152400</xdr:colOff>
      <xdr:row>9</xdr:row>
      <xdr:rowOff>28575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50E6A0E-5490-4633-9851-E8D6FC3CEA4C}"/>
            </a:ext>
          </a:extLst>
        </xdr:cNvPr>
        <xdr:cNvSpPr txBox="1"/>
      </xdr:nvSpPr>
      <xdr:spPr>
        <a:xfrm>
          <a:off x="14039850" y="2247900"/>
          <a:ext cx="31813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Final rate removes bridge</a:t>
          </a:r>
          <a:r>
            <a:rPr lang="en-US" sz="1000" b="1" i="1" baseline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funding</a:t>
          </a:r>
          <a:endParaRPr lang="en-US" sz="1000" b="1" i="1">
            <a:solidFill>
              <a:schemeClr val="accent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19050</xdr:colOff>
      <xdr:row>32</xdr:row>
      <xdr:rowOff>47625</xdr:rowOff>
    </xdr:from>
    <xdr:to>
      <xdr:col>25</xdr:col>
      <xdr:colOff>90487</xdr:colOff>
      <xdr:row>35</xdr:row>
      <xdr:rowOff>101600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5CCCC0DA-8B22-42E5-AF13-9835DB45713F}"/>
            </a:ext>
          </a:extLst>
        </xdr:cNvPr>
        <xdr:cNvSpPr/>
      </xdr:nvSpPr>
      <xdr:spPr>
        <a:xfrm>
          <a:off x="13430250" y="6229350"/>
          <a:ext cx="1900237" cy="5397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E286-3D2D-4118-9100-345E0D8E8788}">
  <sheetPr>
    <pageSetUpPr fitToPage="1"/>
  </sheetPr>
  <dimension ref="A1:AC84"/>
  <sheetViews>
    <sheetView view="pageLayout" zoomScaleNormal="120" workbookViewId="0">
      <selection activeCell="P17" sqref="P17"/>
    </sheetView>
  </sheetViews>
  <sheetFormatPr defaultRowHeight="12.75" x14ac:dyDescent="0.2"/>
  <cols>
    <col min="1" max="9" width="9.140625" style="3"/>
    <col min="10" max="10" width="9.140625" style="10"/>
    <col min="11" max="14" width="9.140625" style="3"/>
    <col min="15" max="15" width="9.140625" style="10"/>
    <col min="16" max="16384" width="9.140625" style="3"/>
  </cols>
  <sheetData>
    <row r="1" spans="1:29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9" t="s">
        <v>1</v>
      </c>
      <c r="K1" s="28"/>
      <c r="L1" s="28"/>
      <c r="M1" s="28"/>
      <c r="N1" s="28"/>
      <c r="O1" s="29" t="s">
        <v>2</v>
      </c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89.25" x14ac:dyDescent="0.2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" t="s">
        <v>12</v>
      </c>
      <c r="K2" s="6" t="s">
        <v>13</v>
      </c>
      <c r="L2" s="6" t="s">
        <v>14</v>
      </c>
      <c r="M2" s="6" t="s">
        <v>15</v>
      </c>
      <c r="N2" s="6" t="s">
        <v>26</v>
      </c>
      <c r="O2" s="5" t="s">
        <v>24</v>
      </c>
      <c r="P2" s="6" t="s">
        <v>25</v>
      </c>
      <c r="Q2" s="6" t="s">
        <v>16</v>
      </c>
      <c r="R2" s="6" t="s">
        <v>17</v>
      </c>
      <c r="S2" s="7" t="s">
        <v>18</v>
      </c>
      <c r="T2" s="6" t="s">
        <v>27</v>
      </c>
      <c r="U2" s="6" t="s">
        <v>28</v>
      </c>
      <c r="V2" s="6" t="s">
        <v>19</v>
      </c>
      <c r="W2" s="8" t="s">
        <v>29</v>
      </c>
      <c r="X2" s="6" t="s">
        <v>30</v>
      </c>
      <c r="Y2" s="6" t="s">
        <v>20</v>
      </c>
      <c r="Z2" s="6" t="s">
        <v>21</v>
      </c>
      <c r="AA2" s="6" t="s">
        <v>22</v>
      </c>
      <c r="AB2" s="6" t="s">
        <v>31</v>
      </c>
      <c r="AC2" s="6" t="s">
        <v>23</v>
      </c>
    </row>
    <row r="3" spans="1:29" ht="13.5" x14ac:dyDescent="0.25">
      <c r="A3" s="16" t="s">
        <v>63</v>
      </c>
      <c r="L3" s="2"/>
      <c r="O3" s="17" t="s">
        <v>64</v>
      </c>
    </row>
    <row r="4" spans="1:29" x14ac:dyDescent="0.2">
      <c r="A4" s="3" t="s">
        <v>56</v>
      </c>
      <c r="B4" s="3" t="s">
        <v>58</v>
      </c>
      <c r="C4" s="3" t="s">
        <v>57</v>
      </c>
      <c r="D4" s="3" t="s">
        <v>35</v>
      </c>
      <c r="E4" s="3" t="s">
        <v>59</v>
      </c>
      <c r="F4" s="9">
        <v>43525</v>
      </c>
      <c r="G4" s="3">
        <v>1</v>
      </c>
      <c r="H4" s="3">
        <v>1370.6</v>
      </c>
      <c r="I4" s="3">
        <v>20</v>
      </c>
      <c r="J4" s="10">
        <f t="shared" ref="J4:J15" si="0">YEAR(F4)</f>
        <v>2019</v>
      </c>
      <c r="K4" s="3" t="str" cm="1">
        <f t="array" ref="K4">IF(I4="","no unit",IF(I4=0,"0 unit",IF(H4/I4=1,"$1 rate",IF(AND(MAX(IF(($A$4:$A$129=A4)*($B$4:$B$129=B4)*($C$4:$C$129=C4)*($E$4:$E$129=E4),$I$4:$I$129))=1,COUNTIFS($A$4:$A$129,A4,$B$4:$B$129,B4,$C$4:$C$129,C4,$E$4:$E$129,E4,$J$4:$J$129,2019,$H$4:$H$129,MODE(IF(($A$4:$A$129=A4)*($B$4:$B$129=B4)*($C$4:$C$129=C4)*($E$4:$E$129=E4)*($J$4:$J$129=2019),$H$4:$H$129)))&lt;2),"1 unit","include"))))</f>
        <v>include</v>
      </c>
      <c r="L4" s="11">
        <v>8.2000000000000003E-2</v>
      </c>
      <c r="M4" s="1">
        <v>1.44</v>
      </c>
      <c r="N4" s="1">
        <v>75.91</v>
      </c>
      <c r="O4" s="13">
        <f t="shared" ref="O4:O15" si="1">IF(AND(J4=2019,K4="include"),IFERROR(ROUND(H4/I4,2),""),"")</f>
        <v>68.53</v>
      </c>
      <c r="P4" s="12">
        <f t="array" ref="P4">IF(OR(J4=2020,K4&lt;&gt;"include"),"",IFERROR(MAX(_xlfn.MODE.MULT(IF(($A$4:$A$129=A4)*($B$4:$B$129=B4)*($C$4:$C$129=C4)*($J$4:$J$129=J4)*($E$4:$E$129=E4),$O$4:$O$129))),O4))</f>
        <v>69.97</v>
      </c>
      <c r="Q4" s="12">
        <f t="shared" ref="Q4:Q15" si="2">IF(OR(J4=2020,K4&lt;&gt;"include"),"",IF(AND(O4&lt;=P4,O4&gt;=P4*0.2),P4,O4))</f>
        <v>69.97</v>
      </c>
      <c r="R4" s="12">
        <f t="shared" ref="R4:R15" si="3">IF(OR(J4=2020,K4&lt;&gt;"include"),"",IF(Q4&gt;=ROUND(MAX(0,N4)/(1+L4),2),MAX(ROUND(MAX(0,N4)/(1+L4),2),Q4-MAX(0,M4)),Q4))</f>
        <v>69.97</v>
      </c>
      <c r="S4" s="12">
        <f t="shared" ref="S4:S15" si="4">IFERROR(IF(OR(J4=2020,K4&lt;&gt;"include"),"",IF(Q4&lt;P4*0.2,ROUND(Q4*(1+L4),2),IF(R4&lt;MAX(0,N4)*0.8,ROUND(R4*(1+L4),2),ROUND(R4*(1+L4),2)+MAX(0,M4)))),"")</f>
        <v>77.149999999999991</v>
      </c>
      <c r="T4" s="14">
        <v>77.349999999999994</v>
      </c>
      <c r="U4" s="12">
        <f t="shared" ref="U4:U15" si="5">IFERROR(IF(AND(J4=2019,T4=""),S4,IF(J4=2020,"",IF(AND(S4/T4&gt;0.2,S4/T4&lt;=1),T4,S4))),"")</f>
        <v>77.349999999999994</v>
      </c>
      <c r="V4" s="12">
        <f t="shared" ref="V4:V15" si="6">IF(OR(J4=2020,K4&lt;&gt;"include"),"",IF(Q4&lt;P4*0.2,U4,IF(R4&lt;MAX(0,N4)*0.8,U4,U4-MAX(0,M4))))</f>
        <v>75.91</v>
      </c>
      <c r="W4" s="12" t="str">
        <f t="shared" ref="W4:W15" si="7">IF(AND(J4=2020,K4="include"),IFERROR(ROUND(H4/I4,2),""),"")</f>
        <v/>
      </c>
      <c r="X4" s="12" t="str">
        <f t="array" ref="X4">IF(OR(J4=2019,K4&lt;&gt;"include"),"",IFERROR(MAX(_xlfn.MODE.MULT(IF(($A$4:$A$129=A4)*($B$4:$B$129=B4)*($C$4:$C$129=C4)*($E$4:$E$129=E4),$U$4:$U$129))),U4))</f>
        <v/>
      </c>
      <c r="Y4" s="12" t="str">
        <f t="shared" ref="Y4:Y15" si="8">IF(OR(J4=2019,K4&lt;&gt;"include"),"",IFERROR(IF(AND(W4/X4&gt;0.2,W4/X4&lt;=1),X4,W4),W4))</f>
        <v/>
      </c>
      <c r="Z4" s="12" t="str">
        <f t="shared" ref="Z4:Z15" si="9">IF(OR(J4=2019,K4&lt;&gt;"include"),"",IFERROR(IF(W4&lt;X4*0.2,W4,IF(Y4&lt;MAX(0,N4)*0.8,Y4,Y4-MAX(0,M4))),Y4-MAX(0,M4)))</f>
        <v/>
      </c>
      <c r="AA4" s="12" t="str">
        <f t="shared" ref="AA4:AA15" si="10">IF(OR(J4=2020,K4="include"),"",ROUND(H4*(1+L4),2))</f>
        <v/>
      </c>
      <c r="AB4" s="12" t="str">
        <f t="shared" ref="AB4:AB15" si="11">IF(OR(J4=2019,K4="include"),"",H4)</f>
        <v/>
      </c>
      <c r="AC4" s="12">
        <f t="shared" ref="AC4:AC15" si="12">IF(AND(J4=2019,K4="include"),ROUND(I4*V4,2),IF(AND(J4=2020,K4="include"),ROUND(I4*Z4,2),IF(AND(J4=2019,K4&lt;&gt;"include"),AA4,AB4)))</f>
        <v>1518.2</v>
      </c>
    </row>
    <row r="5" spans="1:29" x14ac:dyDescent="0.2">
      <c r="A5" s="3" t="s">
        <v>56</v>
      </c>
      <c r="B5" s="3" t="s">
        <v>58</v>
      </c>
      <c r="C5" s="3" t="s">
        <v>57</v>
      </c>
      <c r="D5" s="3" t="s">
        <v>35</v>
      </c>
      <c r="E5" s="3" t="s">
        <v>59</v>
      </c>
      <c r="F5" s="9">
        <v>43556</v>
      </c>
      <c r="G5" s="3">
        <v>1</v>
      </c>
      <c r="H5" s="3">
        <v>1439.13</v>
      </c>
      <c r="I5" s="3">
        <v>21</v>
      </c>
      <c r="J5" s="10">
        <f t="shared" si="0"/>
        <v>2019</v>
      </c>
      <c r="K5" s="3" t="str" cm="1">
        <f t="array" ref="K5">IF(I5="","no unit",IF(I5=0,"0 unit",IF(H5/I5=1,"$1 rate",IF(AND(MAX(IF(($A$4:$A$129=A5)*($B$4:$B$129=B5)*($C$4:$C$129=C5)*($E$4:$E$129=E5),$I$4:$I$129))=1,COUNTIFS($A$4:$A$129,A5,$B$4:$B$129,B5,$C$4:$C$129,C5,$E$4:$E$129,E5,$J$4:$J$129,2019,$H$4:$H$129,MODE(IF(($A$4:$A$129=A5)*($B$4:$B$129=B5)*($C$4:$C$129=C5)*($E$4:$E$129=E5)*($J$4:$J$129=2019),$H$4:$H$129)))&lt;2),"1 unit","include"))))</f>
        <v>include</v>
      </c>
      <c r="L5" s="11">
        <v>8.2000000000000003E-2</v>
      </c>
      <c r="M5" s="1">
        <v>1.44</v>
      </c>
      <c r="N5" s="1">
        <v>75.91</v>
      </c>
      <c r="O5" s="13">
        <f t="shared" si="1"/>
        <v>68.53</v>
      </c>
      <c r="P5" s="12">
        <f t="array" ref="P5">IF(OR(J5=2020,K5&lt;&gt;"include"),"",IFERROR(MAX(_xlfn.MODE.MULT(IF(($A$4:$A$129=A5)*($B$4:$B$129=B5)*($C$4:$C$129=C5)*($J$4:$J$129=J5)*($E$4:$E$129=E5),$O$4:$O$129))),O5))</f>
        <v>69.97</v>
      </c>
      <c r="Q5" s="12">
        <f t="shared" si="2"/>
        <v>69.97</v>
      </c>
      <c r="R5" s="12">
        <f t="shared" si="3"/>
        <v>69.97</v>
      </c>
      <c r="S5" s="12">
        <f t="shared" si="4"/>
        <v>77.149999999999991</v>
      </c>
      <c r="T5" s="14">
        <v>77.349999999999994</v>
      </c>
      <c r="U5" s="12">
        <f t="shared" si="5"/>
        <v>77.349999999999994</v>
      </c>
      <c r="V5" s="12">
        <f t="shared" si="6"/>
        <v>75.91</v>
      </c>
      <c r="W5" s="12" t="str">
        <f t="shared" si="7"/>
        <v/>
      </c>
      <c r="X5" s="12" t="str">
        <f t="array" ref="X5">IF(OR(J5=2019,K5&lt;&gt;"include"),"",IFERROR(MAX(_xlfn.MODE.MULT(IF(($A$4:$A$129=A5)*($B$4:$B$129=B5)*($C$4:$C$129=C5)*($E$4:$E$129=E5),$U$4:$U$129))),U5))</f>
        <v/>
      </c>
      <c r="Y5" s="12" t="str">
        <f t="shared" si="8"/>
        <v/>
      </c>
      <c r="Z5" s="12" t="str">
        <f t="shared" si="9"/>
        <v/>
      </c>
      <c r="AA5" s="12" t="str">
        <f t="shared" si="10"/>
        <v/>
      </c>
      <c r="AB5" s="12" t="str">
        <f t="shared" si="11"/>
        <v/>
      </c>
      <c r="AC5" s="12">
        <f t="shared" si="12"/>
        <v>1594.11</v>
      </c>
    </row>
    <row r="6" spans="1:29" x14ac:dyDescent="0.2">
      <c r="A6" s="3" t="s">
        <v>56</v>
      </c>
      <c r="B6" s="3" t="s">
        <v>58</v>
      </c>
      <c r="C6" s="3" t="s">
        <v>57</v>
      </c>
      <c r="D6" s="3" t="s">
        <v>35</v>
      </c>
      <c r="E6" s="3" t="s">
        <v>59</v>
      </c>
      <c r="F6" s="9">
        <v>43586</v>
      </c>
      <c r="G6" s="3">
        <v>1</v>
      </c>
      <c r="H6" s="3">
        <v>1259.46</v>
      </c>
      <c r="I6" s="3">
        <v>18</v>
      </c>
      <c r="J6" s="10">
        <f t="shared" si="0"/>
        <v>2019</v>
      </c>
      <c r="K6" s="3" t="str" cm="1">
        <f t="array" ref="K6">IF(I6="","no unit",IF(I6=0,"0 unit",IF(H6/I6=1,"$1 rate",IF(AND(MAX(IF(($A$4:$A$129=A6)*($B$4:$B$129=B6)*($C$4:$C$129=C6)*($E$4:$E$129=E6),$I$4:$I$129))=1,COUNTIFS($A$4:$A$129,A6,$B$4:$B$129,B6,$C$4:$C$129,C6,$E$4:$E$129,E6,$J$4:$J$129,2019,$H$4:$H$129,MODE(IF(($A$4:$A$129=A6)*($B$4:$B$129=B6)*($C$4:$C$129=C6)*($E$4:$E$129=E6)*($J$4:$J$129=2019),$H$4:$H$129)))&lt;2),"1 unit","include"))))</f>
        <v>include</v>
      </c>
      <c r="L6" s="11">
        <v>8.2000000000000003E-2</v>
      </c>
      <c r="M6" s="1">
        <v>1.44</v>
      </c>
      <c r="N6" s="1">
        <v>75.91</v>
      </c>
      <c r="O6" s="13">
        <f t="shared" si="1"/>
        <v>69.97</v>
      </c>
      <c r="P6" s="12">
        <f t="array" ref="P6">IF(OR(J6=2020,K6&lt;&gt;"include"),"",IFERROR(MAX(_xlfn.MODE.MULT(IF(($A$4:$A$129=A6)*($B$4:$B$129=B6)*($C$4:$C$129=C6)*($J$4:$J$129=J6)*($E$4:$E$129=E6),$O$4:$O$129))),O6))</f>
        <v>69.97</v>
      </c>
      <c r="Q6" s="12">
        <f t="shared" si="2"/>
        <v>69.97</v>
      </c>
      <c r="R6" s="12">
        <f t="shared" si="3"/>
        <v>69.97</v>
      </c>
      <c r="S6" s="12">
        <f t="shared" si="4"/>
        <v>77.149999999999991</v>
      </c>
      <c r="T6" s="14">
        <v>77.349999999999994</v>
      </c>
      <c r="U6" s="12">
        <f t="shared" si="5"/>
        <v>77.349999999999994</v>
      </c>
      <c r="V6" s="12">
        <f t="shared" si="6"/>
        <v>75.91</v>
      </c>
      <c r="W6" s="12" t="str">
        <f t="shared" si="7"/>
        <v/>
      </c>
      <c r="X6" s="12" t="str">
        <f t="array" ref="X6">IF(OR(J6=2019,K6&lt;&gt;"include"),"",IFERROR(MAX(_xlfn.MODE.MULT(IF(($A$4:$A$129=A6)*($B$4:$B$129=B6)*($C$4:$C$129=C6)*($E$4:$E$129=E6),$U$4:$U$129))),U6))</f>
        <v/>
      </c>
      <c r="Y6" s="12" t="str">
        <f t="shared" si="8"/>
        <v/>
      </c>
      <c r="Z6" s="12" t="str">
        <f t="shared" si="9"/>
        <v/>
      </c>
      <c r="AA6" s="12" t="str">
        <f t="shared" si="10"/>
        <v/>
      </c>
      <c r="AB6" s="12" t="str">
        <f t="shared" si="11"/>
        <v/>
      </c>
      <c r="AC6" s="12">
        <f t="shared" si="12"/>
        <v>1366.38</v>
      </c>
    </row>
    <row r="7" spans="1:29" x14ac:dyDescent="0.2">
      <c r="A7" s="3" t="s">
        <v>56</v>
      </c>
      <c r="B7" s="3" t="s">
        <v>58</v>
      </c>
      <c r="C7" s="3" t="s">
        <v>57</v>
      </c>
      <c r="D7" s="3" t="s">
        <v>35</v>
      </c>
      <c r="E7" s="3" t="s">
        <v>59</v>
      </c>
      <c r="F7" s="9">
        <v>43617</v>
      </c>
      <c r="G7" s="3">
        <v>1</v>
      </c>
      <c r="H7" s="3">
        <v>559.76</v>
      </c>
      <c r="I7" s="3">
        <v>8</v>
      </c>
      <c r="J7" s="10">
        <f t="shared" si="0"/>
        <v>2019</v>
      </c>
      <c r="K7" s="3" t="str" cm="1">
        <f t="array" ref="K7">IF(I7="","no unit",IF(I7=0,"0 unit",IF(H7/I7=1,"$1 rate",IF(AND(MAX(IF(($A$4:$A$129=A7)*($B$4:$B$129=B7)*($C$4:$C$129=C7)*($E$4:$E$129=E7),$I$4:$I$129))=1,COUNTIFS($A$4:$A$129,A7,$B$4:$B$129,B7,$C$4:$C$129,C7,$E$4:$E$129,E7,$J$4:$J$129,2019,$H$4:$H$129,MODE(IF(($A$4:$A$129=A7)*($B$4:$B$129=B7)*($C$4:$C$129=C7)*($E$4:$E$129=E7)*($J$4:$J$129=2019),$H$4:$H$129)))&lt;2),"1 unit","include"))))</f>
        <v>include</v>
      </c>
      <c r="L7" s="11">
        <v>8.2000000000000003E-2</v>
      </c>
      <c r="M7" s="1">
        <v>1.44</v>
      </c>
      <c r="N7" s="1">
        <v>75.91</v>
      </c>
      <c r="O7" s="13">
        <f t="shared" si="1"/>
        <v>69.97</v>
      </c>
      <c r="P7" s="12">
        <f t="array" ref="P7">IF(OR(J7=2020,K7&lt;&gt;"include"),"",IFERROR(MAX(_xlfn.MODE.MULT(IF(($A$4:$A$129=A7)*($B$4:$B$129=B7)*($C$4:$C$129=C7)*($J$4:$J$129=J7)*($E$4:$E$129=E7),$O$4:$O$129))),O7))</f>
        <v>69.97</v>
      </c>
      <c r="Q7" s="12">
        <f t="shared" si="2"/>
        <v>69.97</v>
      </c>
      <c r="R7" s="12">
        <f t="shared" si="3"/>
        <v>69.97</v>
      </c>
      <c r="S7" s="12">
        <f t="shared" si="4"/>
        <v>77.149999999999991</v>
      </c>
      <c r="T7" s="14">
        <v>77.349999999999994</v>
      </c>
      <c r="U7" s="12">
        <f t="shared" si="5"/>
        <v>77.349999999999994</v>
      </c>
      <c r="V7" s="12">
        <f t="shared" si="6"/>
        <v>75.91</v>
      </c>
      <c r="W7" s="12" t="str">
        <f t="shared" si="7"/>
        <v/>
      </c>
      <c r="X7" s="12" t="str">
        <f t="array" ref="X7">IF(OR(J7=2019,K7&lt;&gt;"include"),"",IFERROR(MAX(_xlfn.MODE.MULT(IF(($A$4:$A$129=A7)*($B$4:$B$129=B7)*($C$4:$C$129=C7)*($E$4:$E$129=E7),$U$4:$U$129))),U7))</f>
        <v/>
      </c>
      <c r="Y7" s="12" t="str">
        <f t="shared" si="8"/>
        <v/>
      </c>
      <c r="Z7" s="12" t="str">
        <f t="shared" si="9"/>
        <v/>
      </c>
      <c r="AA7" s="12" t="str">
        <f t="shared" si="10"/>
        <v/>
      </c>
      <c r="AB7" s="12" t="str">
        <f t="shared" si="11"/>
        <v/>
      </c>
      <c r="AC7" s="12">
        <f t="shared" si="12"/>
        <v>607.28</v>
      </c>
    </row>
    <row r="8" spans="1:29" x14ac:dyDescent="0.2">
      <c r="A8" s="3" t="s">
        <v>56</v>
      </c>
      <c r="B8" s="3" t="s">
        <v>58</v>
      </c>
      <c r="C8" s="3" t="s">
        <v>57</v>
      </c>
      <c r="D8" s="3" t="s">
        <v>35</v>
      </c>
      <c r="E8" s="3" t="s">
        <v>59</v>
      </c>
      <c r="F8" s="9">
        <v>43647</v>
      </c>
      <c r="G8" s="3">
        <v>1</v>
      </c>
      <c r="H8" s="3">
        <v>1469.37</v>
      </c>
      <c r="I8" s="3">
        <v>21</v>
      </c>
      <c r="J8" s="10">
        <f t="shared" si="0"/>
        <v>2019</v>
      </c>
      <c r="K8" s="3" t="str" cm="1">
        <f t="array" ref="K8">IF(I8="","no unit",IF(I8=0,"0 unit",IF(H8/I8=1,"$1 rate",IF(AND(MAX(IF(($A$4:$A$129=A8)*($B$4:$B$129=B8)*($C$4:$C$129=C8)*($E$4:$E$129=E8),$I$4:$I$129))=1,COUNTIFS($A$4:$A$129,A8,$B$4:$B$129,B8,$C$4:$C$129,C8,$E$4:$E$129,E8,$J$4:$J$129,2019,$H$4:$H$129,MODE(IF(($A$4:$A$129=A8)*($B$4:$B$129=B8)*($C$4:$C$129=C8)*($E$4:$E$129=E8)*($J$4:$J$129=2019),$H$4:$H$129)))&lt;2),"1 unit","include"))))</f>
        <v>include</v>
      </c>
      <c r="L8" s="11">
        <v>8.2000000000000003E-2</v>
      </c>
      <c r="M8" s="1">
        <v>1.44</v>
      </c>
      <c r="N8" s="1">
        <v>75.91</v>
      </c>
      <c r="O8" s="13">
        <f t="shared" si="1"/>
        <v>69.97</v>
      </c>
      <c r="P8" s="12">
        <f t="array" ref="P8">IF(OR(J8=2020,K8&lt;&gt;"include"),"",IFERROR(MAX(_xlfn.MODE.MULT(IF(($A$4:$A$129=A8)*($B$4:$B$129=B8)*($C$4:$C$129=C8)*($J$4:$J$129=J8)*($E$4:$E$129=E8),$O$4:$O$129))),O8))</f>
        <v>69.97</v>
      </c>
      <c r="Q8" s="12">
        <f t="shared" si="2"/>
        <v>69.97</v>
      </c>
      <c r="R8" s="12">
        <f t="shared" si="3"/>
        <v>69.97</v>
      </c>
      <c r="S8" s="12">
        <f t="shared" si="4"/>
        <v>77.149999999999991</v>
      </c>
      <c r="T8" s="14">
        <v>77.349999999999994</v>
      </c>
      <c r="U8" s="12">
        <f t="shared" si="5"/>
        <v>77.349999999999994</v>
      </c>
      <c r="V8" s="12">
        <f t="shared" si="6"/>
        <v>75.91</v>
      </c>
      <c r="W8" s="12" t="str">
        <f t="shared" si="7"/>
        <v/>
      </c>
      <c r="X8" s="12" t="str">
        <f t="array" ref="X8">IF(OR(J8=2019,K8&lt;&gt;"include"),"",IFERROR(MAX(_xlfn.MODE.MULT(IF(($A$4:$A$129=A8)*($B$4:$B$129=B8)*($C$4:$C$129=C8)*($E$4:$E$129=E8),$U$4:$U$129))),U8))</f>
        <v/>
      </c>
      <c r="Y8" s="12" t="str">
        <f t="shared" si="8"/>
        <v/>
      </c>
      <c r="Z8" s="12" t="str">
        <f t="shared" si="9"/>
        <v/>
      </c>
      <c r="AA8" s="12" t="str">
        <f t="shared" si="10"/>
        <v/>
      </c>
      <c r="AB8" s="12" t="str">
        <f t="shared" si="11"/>
        <v/>
      </c>
      <c r="AC8" s="12">
        <f t="shared" si="12"/>
        <v>1594.11</v>
      </c>
    </row>
    <row r="9" spans="1:29" x14ac:dyDescent="0.2">
      <c r="A9" s="3" t="s">
        <v>56</v>
      </c>
      <c r="B9" s="3" t="s">
        <v>58</v>
      </c>
      <c r="C9" s="3" t="s">
        <v>57</v>
      </c>
      <c r="D9" s="3" t="s">
        <v>35</v>
      </c>
      <c r="E9" s="3" t="s">
        <v>59</v>
      </c>
      <c r="F9" s="9">
        <v>43678</v>
      </c>
      <c r="G9" s="3">
        <v>1</v>
      </c>
      <c r="H9" s="3">
        <v>1469.37</v>
      </c>
      <c r="I9" s="3">
        <v>21</v>
      </c>
      <c r="J9" s="10">
        <f t="shared" si="0"/>
        <v>2019</v>
      </c>
      <c r="K9" s="3" t="str" cm="1">
        <f t="array" ref="K9">IF(I9="","no unit",IF(I9=0,"0 unit",IF(H9/I9=1,"$1 rate",IF(AND(MAX(IF(($A$4:$A$129=A9)*($B$4:$B$129=B9)*($C$4:$C$129=C9)*($E$4:$E$129=E9),$I$4:$I$129))=1,COUNTIFS($A$4:$A$129,A9,$B$4:$B$129,B9,$C$4:$C$129,C9,$E$4:$E$129,E9,$J$4:$J$129,2019,$H$4:$H$129,MODE(IF(($A$4:$A$129=A9)*($B$4:$B$129=B9)*($C$4:$C$129=C9)*($E$4:$E$129=E9)*($J$4:$J$129=2019),$H$4:$H$129)))&lt;2),"1 unit","include"))))</f>
        <v>include</v>
      </c>
      <c r="L9" s="11">
        <v>8.2000000000000003E-2</v>
      </c>
      <c r="M9" s="1">
        <v>1.44</v>
      </c>
      <c r="N9" s="1">
        <v>75.91</v>
      </c>
      <c r="O9" s="13">
        <f t="shared" si="1"/>
        <v>69.97</v>
      </c>
      <c r="P9" s="12">
        <f t="array" ref="P9">IF(OR(J9=2020,K9&lt;&gt;"include"),"",IFERROR(MAX(_xlfn.MODE.MULT(IF(($A$4:$A$129=A9)*($B$4:$B$129=B9)*($C$4:$C$129=C9)*($J$4:$J$129=J9)*($E$4:$E$129=E9),$O$4:$O$129))),O9))</f>
        <v>69.97</v>
      </c>
      <c r="Q9" s="12">
        <f t="shared" si="2"/>
        <v>69.97</v>
      </c>
      <c r="R9" s="12">
        <f t="shared" si="3"/>
        <v>69.97</v>
      </c>
      <c r="S9" s="12">
        <f t="shared" si="4"/>
        <v>77.149999999999991</v>
      </c>
      <c r="T9" s="14">
        <v>77.349999999999994</v>
      </c>
      <c r="U9" s="12">
        <f t="shared" si="5"/>
        <v>77.349999999999994</v>
      </c>
      <c r="V9" s="12">
        <f t="shared" si="6"/>
        <v>75.91</v>
      </c>
      <c r="W9" s="12" t="str">
        <f t="shared" si="7"/>
        <v/>
      </c>
      <c r="X9" s="12" t="str">
        <f t="array" ref="X9">IF(OR(J9=2019,K9&lt;&gt;"include"),"",IFERROR(MAX(_xlfn.MODE.MULT(IF(($A$4:$A$129=A9)*($B$4:$B$129=B9)*($C$4:$C$129=C9)*($E$4:$E$129=E9),$U$4:$U$129))),U9))</f>
        <v/>
      </c>
      <c r="Y9" s="12" t="str">
        <f t="shared" si="8"/>
        <v/>
      </c>
      <c r="Z9" s="12" t="str">
        <f t="shared" si="9"/>
        <v/>
      </c>
      <c r="AA9" s="12" t="str">
        <f t="shared" si="10"/>
        <v/>
      </c>
      <c r="AB9" s="12" t="str">
        <f t="shared" si="11"/>
        <v/>
      </c>
      <c r="AC9" s="12">
        <f t="shared" si="12"/>
        <v>1594.11</v>
      </c>
    </row>
    <row r="10" spans="1:29" x14ac:dyDescent="0.2">
      <c r="A10" s="3" t="s">
        <v>56</v>
      </c>
      <c r="B10" s="3" t="s">
        <v>58</v>
      </c>
      <c r="C10" s="3" t="s">
        <v>57</v>
      </c>
      <c r="D10" s="3" t="s">
        <v>35</v>
      </c>
      <c r="E10" s="3" t="s">
        <v>59</v>
      </c>
      <c r="F10" s="9">
        <v>43709</v>
      </c>
      <c r="G10" s="3">
        <v>1</v>
      </c>
      <c r="H10" s="3">
        <v>1399.4</v>
      </c>
      <c r="I10" s="3">
        <v>20</v>
      </c>
      <c r="J10" s="10">
        <f t="shared" si="0"/>
        <v>2019</v>
      </c>
      <c r="K10" s="3" t="str" cm="1">
        <f t="array" ref="K10">IF(I10="","no unit",IF(I10=0,"0 unit",IF(H10/I10=1,"$1 rate",IF(AND(MAX(IF(($A$4:$A$129=A10)*($B$4:$B$129=B10)*($C$4:$C$129=C10)*($E$4:$E$129=E10),$I$4:$I$129))=1,COUNTIFS($A$4:$A$129,A10,$B$4:$B$129,B10,$C$4:$C$129,C10,$E$4:$E$129,E10,$J$4:$J$129,2019,$H$4:$H$129,MODE(IF(($A$4:$A$129=A10)*($B$4:$B$129=B10)*($C$4:$C$129=C10)*($E$4:$E$129=E10)*($J$4:$J$129=2019),$H$4:$H$129)))&lt;2),"1 unit","include"))))</f>
        <v>include</v>
      </c>
      <c r="L10" s="11">
        <v>8.2000000000000003E-2</v>
      </c>
      <c r="M10" s="1">
        <v>1.44</v>
      </c>
      <c r="N10" s="1">
        <v>75.91</v>
      </c>
      <c r="O10" s="13">
        <f t="shared" si="1"/>
        <v>69.97</v>
      </c>
      <c r="P10" s="12">
        <f t="array" ref="P10">IF(OR(J10=2020,K10&lt;&gt;"include"),"",IFERROR(MAX(_xlfn.MODE.MULT(IF(($A$4:$A$129=A10)*($B$4:$B$129=B10)*($C$4:$C$129=C10)*($J$4:$J$129=J10)*($E$4:$E$129=E10),$O$4:$O$129))),O10))</f>
        <v>69.97</v>
      </c>
      <c r="Q10" s="12">
        <f t="shared" si="2"/>
        <v>69.97</v>
      </c>
      <c r="R10" s="12">
        <f t="shared" si="3"/>
        <v>69.97</v>
      </c>
      <c r="S10" s="12">
        <f t="shared" si="4"/>
        <v>77.149999999999991</v>
      </c>
      <c r="T10" s="14">
        <v>77.349999999999994</v>
      </c>
      <c r="U10" s="12">
        <f t="shared" si="5"/>
        <v>77.349999999999994</v>
      </c>
      <c r="V10" s="12">
        <f t="shared" si="6"/>
        <v>75.91</v>
      </c>
      <c r="W10" s="12" t="str">
        <f t="shared" si="7"/>
        <v/>
      </c>
      <c r="X10" s="12" t="str">
        <f t="array" ref="X10">IF(OR(J10=2019,K10&lt;&gt;"include"),"",IFERROR(MAX(_xlfn.MODE.MULT(IF(($A$4:$A$129=A10)*($B$4:$B$129=B10)*($C$4:$C$129=C10)*($E$4:$E$129=E10),$U$4:$U$129))),U10))</f>
        <v/>
      </c>
      <c r="Y10" s="12" t="str">
        <f t="shared" si="8"/>
        <v/>
      </c>
      <c r="Z10" s="12" t="str">
        <f t="shared" si="9"/>
        <v/>
      </c>
      <c r="AA10" s="12" t="str">
        <f t="shared" si="10"/>
        <v/>
      </c>
      <c r="AB10" s="12" t="str">
        <f t="shared" si="11"/>
        <v/>
      </c>
      <c r="AC10" s="12">
        <f t="shared" si="12"/>
        <v>1518.2</v>
      </c>
    </row>
    <row r="11" spans="1:29" x14ac:dyDescent="0.2">
      <c r="A11" s="3" t="s">
        <v>56</v>
      </c>
      <c r="B11" s="3" t="s">
        <v>58</v>
      </c>
      <c r="C11" s="3" t="s">
        <v>57</v>
      </c>
      <c r="D11" s="3" t="s">
        <v>35</v>
      </c>
      <c r="E11" s="3" t="s">
        <v>59</v>
      </c>
      <c r="F11" s="9">
        <v>43739</v>
      </c>
      <c r="G11" s="3">
        <v>1</v>
      </c>
      <c r="H11" s="3">
        <v>1609.31</v>
      </c>
      <c r="I11" s="3">
        <v>23</v>
      </c>
      <c r="J11" s="10">
        <f t="shared" si="0"/>
        <v>2019</v>
      </c>
      <c r="K11" s="3" t="str" cm="1">
        <f t="array" ref="K11">IF(I11="","no unit",IF(I11=0,"0 unit",IF(H11/I11=1,"$1 rate",IF(AND(MAX(IF(($A$4:$A$129=A11)*($B$4:$B$129=B11)*($C$4:$C$129=C11)*($E$4:$E$129=E11),$I$4:$I$129))=1,COUNTIFS($A$4:$A$129,A11,$B$4:$B$129,B11,$C$4:$C$129,C11,$E$4:$E$129,E11,$J$4:$J$129,2019,$H$4:$H$129,MODE(IF(($A$4:$A$129=A11)*($B$4:$B$129=B11)*($C$4:$C$129=C11)*($E$4:$E$129=E11)*($J$4:$J$129=2019),$H$4:$H$129)))&lt;2),"1 unit","include"))))</f>
        <v>include</v>
      </c>
      <c r="L11" s="11">
        <v>8.2000000000000003E-2</v>
      </c>
      <c r="M11" s="1">
        <v>1.44</v>
      </c>
      <c r="N11" s="1">
        <v>75.91</v>
      </c>
      <c r="O11" s="13">
        <f t="shared" si="1"/>
        <v>69.97</v>
      </c>
      <c r="P11" s="12">
        <f t="array" ref="P11">IF(OR(J11=2020,K11&lt;&gt;"include"),"",IFERROR(MAX(_xlfn.MODE.MULT(IF(($A$4:$A$129=A11)*($B$4:$B$129=B11)*($C$4:$C$129=C11)*($J$4:$J$129=J11)*($E$4:$E$129=E11),$O$4:$O$129))),O11))</f>
        <v>69.97</v>
      </c>
      <c r="Q11" s="12">
        <f t="shared" si="2"/>
        <v>69.97</v>
      </c>
      <c r="R11" s="12">
        <f t="shared" si="3"/>
        <v>69.97</v>
      </c>
      <c r="S11" s="12">
        <f t="shared" si="4"/>
        <v>77.149999999999991</v>
      </c>
      <c r="T11" s="14">
        <v>77.349999999999994</v>
      </c>
      <c r="U11" s="12">
        <f t="shared" si="5"/>
        <v>77.349999999999994</v>
      </c>
      <c r="V11" s="12">
        <f t="shared" si="6"/>
        <v>75.91</v>
      </c>
      <c r="W11" s="12" t="str">
        <f t="shared" si="7"/>
        <v/>
      </c>
      <c r="X11" s="12" t="str">
        <f t="array" ref="X11">IF(OR(J11=2019,K11&lt;&gt;"include"),"",IFERROR(MAX(_xlfn.MODE.MULT(IF(($A$4:$A$129=A11)*($B$4:$B$129=B11)*($C$4:$C$129=C11)*($E$4:$E$129=E11),$U$4:$U$129))),U11))</f>
        <v/>
      </c>
      <c r="Y11" s="12" t="str">
        <f t="shared" si="8"/>
        <v/>
      </c>
      <c r="Z11" s="12" t="str">
        <f t="shared" si="9"/>
        <v/>
      </c>
      <c r="AA11" s="12" t="str">
        <f t="shared" si="10"/>
        <v/>
      </c>
      <c r="AB11" s="12" t="str">
        <f t="shared" si="11"/>
        <v/>
      </c>
      <c r="AC11" s="12">
        <f t="shared" si="12"/>
        <v>1745.93</v>
      </c>
    </row>
    <row r="12" spans="1:29" x14ac:dyDescent="0.2">
      <c r="A12" s="3" t="s">
        <v>56</v>
      </c>
      <c r="B12" s="3" t="s">
        <v>58</v>
      </c>
      <c r="C12" s="3" t="s">
        <v>57</v>
      </c>
      <c r="D12" s="3" t="s">
        <v>35</v>
      </c>
      <c r="E12" s="3" t="s">
        <v>59</v>
      </c>
      <c r="F12" s="9">
        <v>43770</v>
      </c>
      <c r="G12" s="3">
        <v>1</v>
      </c>
      <c r="H12" s="3">
        <v>1259.46</v>
      </c>
      <c r="I12" s="3">
        <v>18</v>
      </c>
      <c r="J12" s="10">
        <f t="shared" si="0"/>
        <v>2019</v>
      </c>
      <c r="K12" s="3" t="str" cm="1">
        <f t="array" ref="K12">IF(I12="","no unit",IF(I12=0,"0 unit",IF(H12/I12=1,"$1 rate",IF(AND(MAX(IF(($A$4:$A$129=A12)*($B$4:$B$129=B12)*($C$4:$C$129=C12)*($E$4:$E$129=E12),$I$4:$I$129))=1,COUNTIFS($A$4:$A$129,A12,$B$4:$B$129,B12,$C$4:$C$129,C12,$E$4:$E$129,E12,$J$4:$J$129,2019,$H$4:$H$129,MODE(IF(($A$4:$A$129=A12)*($B$4:$B$129=B12)*($C$4:$C$129=C12)*($E$4:$E$129=E12)*($J$4:$J$129=2019),$H$4:$H$129)))&lt;2),"1 unit","include"))))</f>
        <v>include</v>
      </c>
      <c r="L12" s="11">
        <v>8.2000000000000003E-2</v>
      </c>
      <c r="M12" s="1">
        <v>1.44</v>
      </c>
      <c r="N12" s="1">
        <v>75.91</v>
      </c>
      <c r="O12" s="13">
        <f t="shared" si="1"/>
        <v>69.97</v>
      </c>
      <c r="P12" s="12">
        <f t="array" ref="P12">IF(OR(J12=2020,K12&lt;&gt;"include"),"",IFERROR(MAX(_xlfn.MODE.MULT(IF(($A$4:$A$129=A12)*($B$4:$B$129=B12)*($C$4:$C$129=C12)*($J$4:$J$129=J12)*($E$4:$E$129=E12),$O$4:$O$129))),O12))</f>
        <v>69.97</v>
      </c>
      <c r="Q12" s="12">
        <f t="shared" si="2"/>
        <v>69.97</v>
      </c>
      <c r="R12" s="12">
        <f t="shared" si="3"/>
        <v>69.97</v>
      </c>
      <c r="S12" s="12">
        <f t="shared" si="4"/>
        <v>77.149999999999991</v>
      </c>
      <c r="T12" s="14">
        <v>77.349999999999994</v>
      </c>
      <c r="U12" s="12">
        <f t="shared" si="5"/>
        <v>77.349999999999994</v>
      </c>
      <c r="V12" s="12">
        <f t="shared" si="6"/>
        <v>75.91</v>
      </c>
      <c r="W12" s="12" t="str">
        <f t="shared" si="7"/>
        <v/>
      </c>
      <c r="X12" s="12" t="str">
        <f t="array" ref="X12">IF(OR(J12=2019,K12&lt;&gt;"include"),"",IFERROR(MAX(_xlfn.MODE.MULT(IF(($A$4:$A$129=A12)*($B$4:$B$129=B12)*($C$4:$C$129=C12)*($E$4:$E$129=E12),$U$4:$U$129))),U12))</f>
        <v/>
      </c>
      <c r="Y12" s="12" t="str">
        <f t="shared" si="8"/>
        <v/>
      </c>
      <c r="Z12" s="12" t="str">
        <f t="shared" si="9"/>
        <v/>
      </c>
      <c r="AA12" s="12" t="str">
        <f t="shared" si="10"/>
        <v/>
      </c>
      <c r="AB12" s="12" t="str">
        <f t="shared" si="11"/>
        <v/>
      </c>
      <c r="AC12" s="12">
        <f t="shared" si="12"/>
        <v>1366.38</v>
      </c>
    </row>
    <row r="13" spans="1:29" x14ac:dyDescent="0.2">
      <c r="A13" s="3" t="s">
        <v>56</v>
      </c>
      <c r="B13" s="3" t="s">
        <v>58</v>
      </c>
      <c r="C13" s="3" t="s">
        <v>57</v>
      </c>
      <c r="D13" s="3" t="s">
        <v>35</v>
      </c>
      <c r="E13" s="3" t="s">
        <v>59</v>
      </c>
      <c r="F13" s="9">
        <v>43800</v>
      </c>
      <c r="G13" s="3">
        <v>1</v>
      </c>
      <c r="H13" s="3">
        <v>1259.46</v>
      </c>
      <c r="I13" s="3">
        <v>18</v>
      </c>
      <c r="J13" s="10">
        <f t="shared" si="0"/>
        <v>2019</v>
      </c>
      <c r="K13" s="3" t="str" cm="1">
        <f t="array" ref="K13">IF(I13="","no unit",IF(I13=0,"0 unit",IF(H13/I13=1,"$1 rate",IF(AND(MAX(IF(($A$4:$A$129=A13)*($B$4:$B$129=B13)*($C$4:$C$129=C13)*($E$4:$E$129=E13),$I$4:$I$129))=1,COUNTIFS($A$4:$A$129,A13,$B$4:$B$129,B13,$C$4:$C$129,C13,$E$4:$E$129,E13,$J$4:$J$129,2019,$H$4:$H$129,MODE(IF(($A$4:$A$129=A13)*($B$4:$B$129=B13)*($C$4:$C$129=C13)*($E$4:$E$129=E13)*($J$4:$J$129=2019),$H$4:$H$129)))&lt;2),"1 unit","include"))))</f>
        <v>include</v>
      </c>
      <c r="L13" s="11">
        <v>8.2000000000000003E-2</v>
      </c>
      <c r="M13" s="1">
        <v>1.44</v>
      </c>
      <c r="N13" s="1">
        <v>75.91</v>
      </c>
      <c r="O13" s="13">
        <f t="shared" si="1"/>
        <v>69.97</v>
      </c>
      <c r="P13" s="12">
        <f t="array" ref="P13">IF(OR(J13=2020,K13&lt;&gt;"include"),"",IFERROR(MAX(_xlfn.MODE.MULT(IF(($A$4:$A$129=A13)*($B$4:$B$129=B13)*($C$4:$C$129=C13)*($J$4:$J$129=J13)*($E$4:$E$129=E13),$O$4:$O$129))),O13))</f>
        <v>69.97</v>
      </c>
      <c r="Q13" s="12">
        <f t="shared" si="2"/>
        <v>69.97</v>
      </c>
      <c r="R13" s="12">
        <f t="shared" si="3"/>
        <v>69.97</v>
      </c>
      <c r="S13" s="12">
        <f t="shared" si="4"/>
        <v>77.149999999999991</v>
      </c>
      <c r="T13" s="14">
        <v>77.349999999999994</v>
      </c>
      <c r="U13" s="12">
        <f t="shared" si="5"/>
        <v>77.349999999999994</v>
      </c>
      <c r="V13" s="12">
        <f t="shared" si="6"/>
        <v>75.91</v>
      </c>
      <c r="W13" s="12" t="str">
        <f t="shared" si="7"/>
        <v/>
      </c>
      <c r="X13" s="12" t="str">
        <f t="array" ref="X13">IF(OR(J13=2019,K13&lt;&gt;"include"),"",IFERROR(MAX(_xlfn.MODE.MULT(IF(($A$4:$A$129=A13)*($B$4:$B$129=B13)*($C$4:$C$129=C13)*($E$4:$E$129=E13),$U$4:$U$129))),U13))</f>
        <v/>
      </c>
      <c r="Y13" s="12" t="str">
        <f t="shared" si="8"/>
        <v/>
      </c>
      <c r="Z13" s="12" t="str">
        <f t="shared" si="9"/>
        <v/>
      </c>
      <c r="AA13" s="12" t="str">
        <f t="shared" si="10"/>
        <v/>
      </c>
      <c r="AB13" s="12" t="str">
        <f t="shared" si="11"/>
        <v/>
      </c>
      <c r="AC13" s="12">
        <f t="shared" si="12"/>
        <v>1366.38</v>
      </c>
    </row>
    <row r="14" spans="1:29" x14ac:dyDescent="0.2">
      <c r="A14" s="3" t="s">
        <v>56</v>
      </c>
      <c r="B14" s="3" t="s">
        <v>58</v>
      </c>
      <c r="C14" s="3" t="s">
        <v>57</v>
      </c>
      <c r="D14" s="3" t="s">
        <v>35</v>
      </c>
      <c r="E14" s="3" t="s">
        <v>59</v>
      </c>
      <c r="F14" s="9">
        <v>43831</v>
      </c>
      <c r="G14" s="3">
        <v>2</v>
      </c>
      <c r="H14" s="3">
        <v>1624.35</v>
      </c>
      <c r="I14" s="3">
        <v>21</v>
      </c>
      <c r="J14" s="10">
        <f t="shared" si="0"/>
        <v>2020</v>
      </c>
      <c r="K14" s="3" t="str" cm="1">
        <f t="array" ref="K14">IF(I14="","no unit",IF(I14=0,"0 unit",IF(H14/I14=1,"$1 rate",IF(AND(MAX(IF(($A$4:$A$129=A14)*($B$4:$B$129=B14)*($C$4:$C$129=C14)*($E$4:$E$129=E14),$I$4:$I$129))=1,COUNTIFS($A$4:$A$129,A14,$B$4:$B$129,B14,$C$4:$C$129,C14,$E$4:$E$129,E14,$J$4:$J$129,2019,$H$4:$H$129,MODE(IF(($A$4:$A$129=A14)*($B$4:$B$129=B14)*($C$4:$C$129=C14)*($E$4:$E$129=E14)*($J$4:$J$129=2019),$H$4:$H$129)))&lt;2),"1 unit","include"))))</f>
        <v>include</v>
      </c>
      <c r="L14" s="11">
        <v>8.2000000000000003E-2</v>
      </c>
      <c r="M14" s="1">
        <v>1.44</v>
      </c>
      <c r="N14" s="1">
        <v>75.91</v>
      </c>
      <c r="O14" s="13" t="str">
        <f t="shared" si="1"/>
        <v/>
      </c>
      <c r="P14" s="12" t="str">
        <f t="array" ref="P14">IF(OR(J14=2020,K14&lt;&gt;"include"),"",IFERROR(MAX(_xlfn.MODE.MULT(IF(($A$4:$A$129=A14)*($B$4:$B$129=B14)*($C$4:$C$129=C14)*($J$4:$J$129=J14)*($E$4:$E$129=E14),$O$4:$O$129))),O14))</f>
        <v/>
      </c>
      <c r="Q14" s="12" t="str">
        <f t="shared" si="2"/>
        <v/>
      </c>
      <c r="R14" s="12" t="str">
        <f t="shared" si="3"/>
        <v/>
      </c>
      <c r="S14" s="12" t="str">
        <f t="shared" si="4"/>
        <v/>
      </c>
      <c r="T14" s="14">
        <v>77.349999999999994</v>
      </c>
      <c r="U14" s="12" t="str">
        <f t="shared" si="5"/>
        <v/>
      </c>
      <c r="V14" s="12" t="str">
        <f t="shared" si="6"/>
        <v/>
      </c>
      <c r="W14" s="12">
        <f t="shared" si="7"/>
        <v>77.349999999999994</v>
      </c>
      <c r="X14" s="12">
        <f t="array" ref="X14">IF(OR(J14=2019,K14&lt;&gt;"include"),"",IFERROR(MAX(_xlfn.MODE.MULT(IF(($A$4:$A$129=A14)*($B$4:$B$129=B14)*($C$4:$C$129=C14)*($E$4:$E$129=E14),$U$4:$U$129))),U14))</f>
        <v>77.349999999999994</v>
      </c>
      <c r="Y14" s="12">
        <f t="shared" si="8"/>
        <v>77.349999999999994</v>
      </c>
      <c r="Z14" s="12">
        <f t="shared" si="9"/>
        <v>75.91</v>
      </c>
      <c r="AA14" s="12" t="str">
        <f t="shared" si="10"/>
        <v/>
      </c>
      <c r="AB14" s="12" t="str">
        <f t="shared" si="11"/>
        <v/>
      </c>
      <c r="AC14" s="12">
        <f t="shared" si="12"/>
        <v>1594.11</v>
      </c>
    </row>
    <row r="15" spans="1:29" x14ac:dyDescent="0.2">
      <c r="A15" s="3" t="s">
        <v>56</v>
      </c>
      <c r="B15" s="3" t="s">
        <v>58</v>
      </c>
      <c r="C15" s="3" t="s">
        <v>57</v>
      </c>
      <c r="D15" s="3" t="s">
        <v>35</v>
      </c>
      <c r="E15" s="3" t="s">
        <v>59</v>
      </c>
      <c r="F15" s="9">
        <v>43862</v>
      </c>
      <c r="G15" s="3">
        <v>1</v>
      </c>
      <c r="H15" s="3">
        <v>1469.65</v>
      </c>
      <c r="I15" s="3">
        <v>19</v>
      </c>
      <c r="J15" s="10">
        <f t="shared" si="0"/>
        <v>2020</v>
      </c>
      <c r="K15" s="3" t="str" cm="1">
        <f t="array" ref="K15">IF(I15="","no unit",IF(I15=0,"0 unit",IF(H15/I15=1,"$1 rate",IF(AND(MAX(IF(($A$4:$A$129=A15)*($B$4:$B$129=B15)*($C$4:$C$129=C15)*($E$4:$E$129=E15),$I$4:$I$129))=1,COUNTIFS($A$4:$A$129,A15,$B$4:$B$129,B15,$C$4:$C$129,C15,$E$4:$E$129,E15,$J$4:$J$129,2019,$H$4:$H$129,MODE(IF(($A$4:$A$129=A15)*($B$4:$B$129=B15)*($C$4:$C$129=C15)*($E$4:$E$129=E15)*($J$4:$J$129=2019),$H$4:$H$129)))&lt;2),"1 unit","include"))))</f>
        <v>include</v>
      </c>
      <c r="L15" s="11">
        <v>8.2000000000000003E-2</v>
      </c>
      <c r="M15" s="1">
        <v>1.44</v>
      </c>
      <c r="N15" s="1">
        <v>75.91</v>
      </c>
      <c r="O15" s="13" t="str">
        <f t="shared" si="1"/>
        <v/>
      </c>
      <c r="P15" s="12" t="str">
        <f t="array" ref="P15">IF(OR(J15=2020,K15&lt;&gt;"include"),"",IFERROR(MAX(_xlfn.MODE.MULT(IF(($A$4:$A$129=A15)*($B$4:$B$129=B15)*($C$4:$C$129=C15)*($J$4:$J$129=J15)*($E$4:$E$129=E15),$O$4:$O$129))),O15))</f>
        <v/>
      </c>
      <c r="Q15" s="12" t="str">
        <f t="shared" si="2"/>
        <v/>
      </c>
      <c r="R15" s="12" t="str">
        <f t="shared" si="3"/>
        <v/>
      </c>
      <c r="S15" s="12" t="str">
        <f t="shared" si="4"/>
        <v/>
      </c>
      <c r="T15" s="14">
        <v>77.349999999999994</v>
      </c>
      <c r="U15" s="12" t="str">
        <f t="shared" si="5"/>
        <v/>
      </c>
      <c r="V15" s="12" t="str">
        <f t="shared" si="6"/>
        <v/>
      </c>
      <c r="W15" s="12">
        <f t="shared" si="7"/>
        <v>77.349999999999994</v>
      </c>
      <c r="X15" s="12">
        <f t="array" ref="X15">IF(OR(J15=2019,K15&lt;&gt;"include"),"",IFERROR(MAX(_xlfn.MODE.MULT(IF(($A$4:$A$129=A15)*($B$4:$B$129=B15)*($C$4:$C$129=C15)*($E$4:$E$129=E15),$U$4:$U$129))),U15))</f>
        <v>77.349999999999994</v>
      </c>
      <c r="Y15" s="12">
        <f t="shared" si="8"/>
        <v>77.349999999999994</v>
      </c>
      <c r="Z15" s="12">
        <f t="shared" si="9"/>
        <v>75.91</v>
      </c>
      <c r="AA15" s="12" t="str">
        <f t="shared" si="10"/>
        <v/>
      </c>
      <c r="AB15" s="12" t="str">
        <f t="shared" si="11"/>
        <v/>
      </c>
      <c r="AC15" s="12">
        <f t="shared" si="12"/>
        <v>1442.29</v>
      </c>
    </row>
    <row r="17" spans="1:29" ht="13.5" x14ac:dyDescent="0.25">
      <c r="A17" s="16" t="s">
        <v>60</v>
      </c>
      <c r="P17" s="2" t="s">
        <v>68</v>
      </c>
    </row>
    <row r="18" spans="1:29" x14ac:dyDescent="0.2">
      <c r="A18" s="3" t="s">
        <v>33</v>
      </c>
      <c r="B18" s="3" t="s">
        <v>37</v>
      </c>
      <c r="C18" s="3" t="s">
        <v>34</v>
      </c>
      <c r="D18" s="3" t="s">
        <v>35</v>
      </c>
      <c r="E18" s="3" t="s">
        <v>36</v>
      </c>
      <c r="F18" s="9">
        <v>43525</v>
      </c>
      <c r="G18" s="3">
        <v>1</v>
      </c>
      <c r="H18" s="3">
        <v>1405.8</v>
      </c>
      <c r="I18" s="3">
        <v>20</v>
      </c>
      <c r="J18" s="10">
        <f t="shared" ref="J18:J29" si="13">YEAR(F18)</f>
        <v>2019</v>
      </c>
      <c r="K18" s="3" t="str" cm="1">
        <f t="array" ref="K18">IF(I18="","no unit",IF(I18=0,"0 unit",IF(H18/I18=1,"$1 rate",IF(AND(MAX(IF(($A$4:$A$129=A18)*($B$4:$B$129=B18)*($C$4:$C$129=C18)*($E$4:$E$129=E18),$I$4:$I$129))=1,COUNTIFS($A$4:$A$129,A18,$B$4:$B$129,B18,$C$4:$C$129,C18,$E$4:$E$129,E18,$J$4:$J$129,2019,$H$4:$H$129,MODE(IF(($A$4:$A$129=A18)*($B$4:$B$129=B18)*($C$4:$C$129=C18)*($E$4:$E$129=E18)*($J$4:$J$129=2019),$H$4:$H$129)))&lt;2),"1 unit","include"))))</f>
        <v>include</v>
      </c>
      <c r="L18" s="11">
        <v>8.2000000000000003E-2</v>
      </c>
      <c r="M18" s="12">
        <v>1.48</v>
      </c>
      <c r="N18" s="12">
        <v>76.05</v>
      </c>
      <c r="O18" s="13">
        <f t="shared" ref="O18:O29" si="14">IF(AND(J18=2019,K18="include"),IFERROR(ROUND(H18/I18,2),""),"")</f>
        <v>70.290000000000006</v>
      </c>
      <c r="P18" s="12">
        <f t="array" ref="P18">IF(OR(J18=2020,K18&lt;&gt;"include"),"",IFERROR(MAX(_xlfn.MODE.MULT(IF(($A$4:$A$129=A18)*($B$4:$B$129=B18)*($C$4:$C$129=C18)*($J$4:$J$129=J18)*($E$4:$E$129=E18),$O$4:$O$129))),O18))</f>
        <v>70.290000000000006</v>
      </c>
      <c r="Q18" s="12">
        <f t="shared" ref="Q18:Q29" si="15">IF(OR(J18=2020,K18&lt;&gt;"include"),"",IF(AND(O18&lt;=P18,O18&gt;=P18*0.2),P18,O18))</f>
        <v>70.290000000000006</v>
      </c>
      <c r="R18" s="12">
        <f t="shared" ref="R18:R29" si="16">IF(OR(J18=2020,K18&lt;&gt;"include"),"",IF(Q18&gt;=ROUND(MAX(0,N18)/(1+L18),2),MAX(ROUND(MAX(0,N18)/(1+L18),2),Q18-MAX(0,M18)),Q18))</f>
        <v>70.290000000000006</v>
      </c>
      <c r="S18" s="12">
        <f t="shared" ref="S18:S29" si="17">IFERROR(IF(OR(J18=2020,K18&lt;&gt;"include"),"",IF(Q18&lt;P18*0.2,ROUND(Q18*(1+L18),2),IF(R18&lt;MAX(0,N18)*0.8,ROUND(R18*(1+L18),2),ROUND(R18*(1+L18),2)+MAX(0,M18)))),"")</f>
        <v>77.53</v>
      </c>
      <c r="T18" s="14"/>
      <c r="U18" s="12">
        <f t="shared" ref="U18:U29" si="18">IFERROR(IF(AND(J18=2019,T18=""),S18,IF(J18=2020,"",IF(AND(S18/T18&gt;0.2,S18/T18&lt;=1),T18,S18))),"")</f>
        <v>77.53</v>
      </c>
      <c r="V18" s="12">
        <f t="shared" ref="V18:V29" si="19">IF(OR(J18=2020,K18&lt;&gt;"include"),"",IF(Q18&lt;P18*0.2,U18,IF(R18&lt;MAX(0,N18)*0.8,U18,U18-MAX(0,M18))))</f>
        <v>76.05</v>
      </c>
      <c r="W18" s="12" t="str">
        <f t="shared" ref="W18:W29" si="20">IF(AND(J18=2020,K18="include"),IFERROR(ROUND(H18/I18,2),""),"")</f>
        <v/>
      </c>
      <c r="X18" s="12" t="str">
        <f t="array" ref="X18">IF(OR(J18=2019,K18&lt;&gt;"include"),"",IFERROR(MAX(_xlfn.MODE.MULT(IF(($A$4:$A$129=A18)*($B$4:$B$129=B18)*($C$4:$C$129=C18)*($E$4:$E$129=E18),$U$4:$U$129))),U18))</f>
        <v/>
      </c>
      <c r="Y18" s="12" t="str">
        <f t="shared" ref="Y18:Y29" si="21">IF(OR(J18=2019,K18&lt;&gt;"include"),"",IFERROR(IF(AND(W18/X18&gt;0.2,W18/X18&lt;=1),X18,W18),W18))</f>
        <v/>
      </c>
      <c r="Z18" s="12" t="str">
        <f t="shared" ref="Z18:Z29" si="22">IF(OR(J18=2019,K18&lt;&gt;"include"),"",IFERROR(IF(W18&lt;X18*0.2,W18,IF(Y18&lt;MAX(0,N18)*0.8,Y18,Y18-MAX(0,M18))),Y18-MAX(0,M18)))</f>
        <v/>
      </c>
      <c r="AA18" s="12" t="str">
        <f t="shared" ref="AA18:AA29" si="23">IF(OR(J18=2020,K18="include"),"",ROUND(H18*(1+L18),2))</f>
        <v/>
      </c>
      <c r="AB18" s="12" t="str">
        <f t="shared" ref="AB18:AB29" si="24">IF(OR(J18=2019,K18="include"),"",H18)</f>
        <v/>
      </c>
      <c r="AC18" s="12">
        <f t="shared" ref="AC18:AC29" si="25">IF(AND(J18=2019,K18="include"),ROUND(I18*V18,2),IF(AND(J18=2020,K18="include"),ROUND(I18*Z18,2),IF(AND(J18=2019,K18&lt;&gt;"include"),AA18,AB18)))</f>
        <v>1521</v>
      </c>
    </row>
    <row r="19" spans="1:29" x14ac:dyDescent="0.2">
      <c r="A19" s="3" t="s">
        <v>33</v>
      </c>
      <c r="B19" s="3" t="s">
        <v>37</v>
      </c>
      <c r="C19" s="3" t="s">
        <v>34</v>
      </c>
      <c r="D19" s="3" t="s">
        <v>35</v>
      </c>
      <c r="E19" s="3" t="s">
        <v>36</v>
      </c>
      <c r="F19" s="9">
        <v>43556</v>
      </c>
      <c r="G19" s="3">
        <v>1</v>
      </c>
      <c r="H19" s="3">
        <v>1124.6400000000001</v>
      </c>
      <c r="I19" s="3">
        <v>16</v>
      </c>
      <c r="J19" s="10">
        <f t="shared" si="13"/>
        <v>2019</v>
      </c>
      <c r="K19" s="3" t="str" cm="1">
        <f t="array" ref="K19">IF(I19="","no unit",IF(I19=0,"0 unit",IF(H19/I19=1,"$1 rate",IF(AND(MAX(IF(($A$4:$A$129=A19)*($B$4:$B$129=B19)*($C$4:$C$129=C19)*($E$4:$E$129=E19),$I$4:$I$129))=1,COUNTIFS($A$4:$A$129,A19,$B$4:$B$129,B19,$C$4:$C$129,C19,$E$4:$E$129,E19,$J$4:$J$129,2019,$H$4:$H$129,MODE(IF(($A$4:$A$129=A19)*($B$4:$B$129=B19)*($C$4:$C$129=C19)*($E$4:$E$129=E19)*($J$4:$J$129=2019),$H$4:$H$129)))&lt;2),"1 unit","include"))))</f>
        <v>include</v>
      </c>
      <c r="L19" s="11">
        <v>8.2000000000000003E-2</v>
      </c>
      <c r="M19" s="12">
        <v>1.48</v>
      </c>
      <c r="N19" s="12">
        <v>76.05</v>
      </c>
      <c r="O19" s="13">
        <f t="shared" si="14"/>
        <v>70.290000000000006</v>
      </c>
      <c r="P19" s="12">
        <f t="array" ref="P19">IF(OR(J19=2020,K19&lt;&gt;"include"),"",IFERROR(MAX(_xlfn.MODE.MULT(IF(($A$4:$A$129=A19)*($B$4:$B$129=B19)*($C$4:$C$129=C19)*($J$4:$J$129=J19)*($E$4:$E$129=E19),$O$4:$O$129))),O19))</f>
        <v>70.290000000000006</v>
      </c>
      <c r="Q19" s="12">
        <f t="shared" si="15"/>
        <v>70.290000000000006</v>
      </c>
      <c r="R19" s="12">
        <f t="shared" si="16"/>
        <v>70.290000000000006</v>
      </c>
      <c r="S19" s="12">
        <f t="shared" si="17"/>
        <v>77.53</v>
      </c>
      <c r="T19" s="14"/>
      <c r="U19" s="12">
        <f t="shared" si="18"/>
        <v>77.53</v>
      </c>
      <c r="V19" s="12">
        <f t="shared" si="19"/>
        <v>76.05</v>
      </c>
      <c r="W19" s="12" t="str">
        <f t="shared" si="20"/>
        <v/>
      </c>
      <c r="X19" s="12" t="str">
        <f t="array" ref="X19">IF(OR(J19=2019,K19&lt;&gt;"include"),"",IFERROR(MAX(_xlfn.MODE.MULT(IF(($A$4:$A$129=A19)*($B$4:$B$129=B19)*($C$4:$C$129=C19)*($E$4:$E$129=E19),$U$4:$U$129))),U19))</f>
        <v/>
      </c>
      <c r="Y19" s="12" t="str">
        <f t="shared" si="21"/>
        <v/>
      </c>
      <c r="Z19" s="12" t="str">
        <f t="shared" si="22"/>
        <v/>
      </c>
      <c r="AA19" s="12" t="str">
        <f t="shared" si="23"/>
        <v/>
      </c>
      <c r="AB19" s="12" t="str">
        <f t="shared" si="24"/>
        <v/>
      </c>
      <c r="AC19" s="12">
        <f t="shared" si="25"/>
        <v>1216.8</v>
      </c>
    </row>
    <row r="20" spans="1:29" x14ac:dyDescent="0.2">
      <c r="A20" s="3" t="s">
        <v>33</v>
      </c>
      <c r="B20" s="3" t="s">
        <v>37</v>
      </c>
      <c r="C20" s="3" t="s">
        <v>34</v>
      </c>
      <c r="D20" s="3" t="s">
        <v>35</v>
      </c>
      <c r="E20" s="3" t="s">
        <v>36</v>
      </c>
      <c r="F20" s="9">
        <v>43586</v>
      </c>
      <c r="G20" s="3">
        <v>1</v>
      </c>
      <c r="H20" s="3">
        <v>1511.24</v>
      </c>
      <c r="I20" s="3">
        <v>21.5</v>
      </c>
      <c r="J20" s="10">
        <f t="shared" si="13"/>
        <v>2019</v>
      </c>
      <c r="K20" s="3" t="str" cm="1">
        <f t="array" ref="K20">IF(I20="","no unit",IF(I20=0,"0 unit",IF(H20/I20=1,"$1 rate",IF(AND(MAX(IF(($A$4:$A$129=A20)*($B$4:$B$129=B20)*($C$4:$C$129=C20)*($E$4:$E$129=E20),$I$4:$I$129))=1,COUNTIFS($A$4:$A$129,A20,$B$4:$B$129,B20,$C$4:$C$129,C20,$E$4:$E$129,E20,$J$4:$J$129,2019,$H$4:$H$129,MODE(IF(($A$4:$A$129=A20)*($B$4:$B$129=B20)*($C$4:$C$129=C20)*($E$4:$E$129=E20)*($J$4:$J$129=2019),$H$4:$H$129)))&lt;2),"1 unit","include"))))</f>
        <v>include</v>
      </c>
      <c r="L20" s="11">
        <v>8.2000000000000003E-2</v>
      </c>
      <c r="M20" s="12">
        <v>1.48</v>
      </c>
      <c r="N20" s="12">
        <v>76.05</v>
      </c>
      <c r="O20" s="13">
        <f t="shared" si="14"/>
        <v>70.290000000000006</v>
      </c>
      <c r="P20" s="12">
        <f t="array" ref="P20">IF(OR(J20=2020,K20&lt;&gt;"include"),"",IFERROR(MAX(_xlfn.MODE.MULT(IF(($A$4:$A$129=A20)*($B$4:$B$129=B20)*($C$4:$C$129=C20)*($J$4:$J$129=J20)*($E$4:$E$129=E20),$O$4:$O$129))),O20))</f>
        <v>70.290000000000006</v>
      </c>
      <c r="Q20" s="12">
        <f t="shared" si="15"/>
        <v>70.290000000000006</v>
      </c>
      <c r="R20" s="12">
        <f t="shared" si="16"/>
        <v>70.290000000000006</v>
      </c>
      <c r="S20" s="12">
        <f t="shared" si="17"/>
        <v>77.53</v>
      </c>
      <c r="T20" s="14"/>
      <c r="U20" s="12">
        <f t="shared" si="18"/>
        <v>77.53</v>
      </c>
      <c r="V20" s="12">
        <f t="shared" si="19"/>
        <v>76.05</v>
      </c>
      <c r="W20" s="12" t="str">
        <f t="shared" si="20"/>
        <v/>
      </c>
      <c r="X20" s="12" t="str">
        <f t="array" ref="X20">IF(OR(J20=2019,K20&lt;&gt;"include"),"",IFERROR(MAX(_xlfn.MODE.MULT(IF(($A$4:$A$129=A20)*($B$4:$B$129=B20)*($C$4:$C$129=C20)*($E$4:$E$129=E20),$U$4:$U$129))),U20))</f>
        <v/>
      </c>
      <c r="Y20" s="12" t="str">
        <f t="shared" si="21"/>
        <v/>
      </c>
      <c r="Z20" s="12" t="str">
        <f t="shared" si="22"/>
        <v/>
      </c>
      <c r="AA20" s="12" t="str">
        <f t="shared" si="23"/>
        <v/>
      </c>
      <c r="AB20" s="12" t="str">
        <f t="shared" si="24"/>
        <v/>
      </c>
      <c r="AC20" s="12">
        <f t="shared" si="25"/>
        <v>1635.08</v>
      </c>
    </row>
    <row r="21" spans="1:29" x14ac:dyDescent="0.2">
      <c r="A21" s="3" t="s">
        <v>33</v>
      </c>
      <c r="B21" s="3" t="s">
        <v>37</v>
      </c>
      <c r="C21" s="3" t="s">
        <v>34</v>
      </c>
      <c r="D21" s="3" t="s">
        <v>35</v>
      </c>
      <c r="E21" s="3" t="s">
        <v>36</v>
      </c>
      <c r="F21" s="9">
        <v>43617</v>
      </c>
      <c r="G21" s="3">
        <v>1</v>
      </c>
      <c r="H21" s="3">
        <v>1265.22</v>
      </c>
      <c r="I21" s="3">
        <v>18</v>
      </c>
      <c r="J21" s="10">
        <f t="shared" si="13"/>
        <v>2019</v>
      </c>
      <c r="K21" s="3" t="str" cm="1">
        <f t="array" ref="K21">IF(I21="","no unit",IF(I21=0,"0 unit",IF(H21/I21=1,"$1 rate",IF(AND(MAX(IF(($A$4:$A$129=A21)*($B$4:$B$129=B21)*($C$4:$C$129=C21)*($E$4:$E$129=E21),$I$4:$I$129))=1,COUNTIFS($A$4:$A$129,A21,$B$4:$B$129,B21,$C$4:$C$129,C21,$E$4:$E$129,E21,$J$4:$J$129,2019,$H$4:$H$129,MODE(IF(($A$4:$A$129=A21)*($B$4:$B$129=B21)*($C$4:$C$129=C21)*($E$4:$E$129=E21)*($J$4:$J$129=2019),$H$4:$H$129)))&lt;2),"1 unit","include"))))</f>
        <v>include</v>
      </c>
      <c r="L21" s="11">
        <v>8.2000000000000003E-2</v>
      </c>
      <c r="M21" s="12">
        <v>1.48</v>
      </c>
      <c r="N21" s="12">
        <v>76.05</v>
      </c>
      <c r="O21" s="13">
        <f t="shared" si="14"/>
        <v>70.290000000000006</v>
      </c>
      <c r="P21" s="12">
        <f t="array" ref="P21">IF(OR(J21=2020,K21&lt;&gt;"include"),"",IFERROR(MAX(_xlfn.MODE.MULT(IF(($A$4:$A$129=A21)*($B$4:$B$129=B21)*($C$4:$C$129=C21)*($J$4:$J$129=J21)*($E$4:$E$129=E21),$O$4:$O$129))),O21))</f>
        <v>70.290000000000006</v>
      </c>
      <c r="Q21" s="12">
        <f t="shared" si="15"/>
        <v>70.290000000000006</v>
      </c>
      <c r="R21" s="12">
        <f t="shared" si="16"/>
        <v>70.290000000000006</v>
      </c>
      <c r="S21" s="12">
        <f t="shared" si="17"/>
        <v>77.53</v>
      </c>
      <c r="T21" s="14"/>
      <c r="U21" s="12">
        <f t="shared" si="18"/>
        <v>77.53</v>
      </c>
      <c r="V21" s="12">
        <f t="shared" si="19"/>
        <v>76.05</v>
      </c>
      <c r="W21" s="12" t="str">
        <f t="shared" si="20"/>
        <v/>
      </c>
      <c r="X21" s="12" t="str">
        <f t="array" ref="X21">IF(OR(J21=2019,K21&lt;&gt;"include"),"",IFERROR(MAX(_xlfn.MODE.MULT(IF(($A$4:$A$129=A21)*($B$4:$B$129=B21)*($C$4:$C$129=C21)*($E$4:$E$129=E21),$U$4:$U$129))),U21))</f>
        <v/>
      </c>
      <c r="Y21" s="12" t="str">
        <f t="shared" si="21"/>
        <v/>
      </c>
      <c r="Z21" s="12" t="str">
        <f t="shared" si="22"/>
        <v/>
      </c>
      <c r="AA21" s="12" t="str">
        <f t="shared" si="23"/>
        <v/>
      </c>
      <c r="AB21" s="12" t="str">
        <f t="shared" si="24"/>
        <v/>
      </c>
      <c r="AC21" s="12">
        <f t="shared" si="25"/>
        <v>1368.9</v>
      </c>
    </row>
    <row r="22" spans="1:29" x14ac:dyDescent="0.2">
      <c r="A22" s="3" t="s">
        <v>33</v>
      </c>
      <c r="B22" s="3" t="s">
        <v>37</v>
      </c>
      <c r="C22" s="3" t="s">
        <v>34</v>
      </c>
      <c r="D22" s="3" t="s">
        <v>35</v>
      </c>
      <c r="E22" s="3" t="s">
        <v>36</v>
      </c>
      <c r="F22" s="9">
        <v>43647</v>
      </c>
      <c r="G22" s="3">
        <v>1</v>
      </c>
      <c r="H22" s="3">
        <v>913.77</v>
      </c>
      <c r="I22" s="3">
        <v>13</v>
      </c>
      <c r="J22" s="10">
        <f t="shared" si="13"/>
        <v>2019</v>
      </c>
      <c r="K22" s="3" t="str" cm="1">
        <f t="array" ref="K22">IF(I22="","no unit",IF(I22=0,"0 unit",IF(H22/I22=1,"$1 rate",IF(AND(MAX(IF(($A$4:$A$129=A22)*($B$4:$B$129=B22)*($C$4:$C$129=C22)*($E$4:$E$129=E22),$I$4:$I$129))=1,COUNTIFS($A$4:$A$129,A22,$B$4:$B$129,B22,$C$4:$C$129,C22,$E$4:$E$129,E22,$J$4:$J$129,2019,$H$4:$H$129,MODE(IF(($A$4:$A$129=A22)*($B$4:$B$129=B22)*($C$4:$C$129=C22)*($E$4:$E$129=E22)*($J$4:$J$129=2019),$H$4:$H$129)))&lt;2),"1 unit","include"))))</f>
        <v>include</v>
      </c>
      <c r="L22" s="11">
        <v>8.2000000000000003E-2</v>
      </c>
      <c r="M22" s="12">
        <v>1.48</v>
      </c>
      <c r="N22" s="12">
        <v>76.05</v>
      </c>
      <c r="O22" s="13">
        <f t="shared" si="14"/>
        <v>70.290000000000006</v>
      </c>
      <c r="P22" s="12">
        <f t="array" ref="P22">IF(OR(J22=2020,K22&lt;&gt;"include"),"",IFERROR(MAX(_xlfn.MODE.MULT(IF(($A$4:$A$129=A22)*($B$4:$B$129=B22)*($C$4:$C$129=C22)*($J$4:$J$129=J22)*($E$4:$E$129=E22),$O$4:$O$129))),O22))</f>
        <v>70.290000000000006</v>
      </c>
      <c r="Q22" s="12">
        <f t="shared" si="15"/>
        <v>70.290000000000006</v>
      </c>
      <c r="R22" s="12">
        <f t="shared" si="16"/>
        <v>70.290000000000006</v>
      </c>
      <c r="S22" s="12">
        <f t="shared" si="17"/>
        <v>77.53</v>
      </c>
      <c r="T22" s="14"/>
      <c r="U22" s="12">
        <f t="shared" si="18"/>
        <v>77.53</v>
      </c>
      <c r="V22" s="12">
        <f t="shared" si="19"/>
        <v>76.05</v>
      </c>
      <c r="W22" s="12" t="str">
        <f t="shared" si="20"/>
        <v/>
      </c>
      <c r="X22" s="12" t="str">
        <f t="array" ref="X22">IF(OR(J22=2019,K22&lt;&gt;"include"),"",IFERROR(MAX(_xlfn.MODE.MULT(IF(($A$4:$A$129=A22)*($B$4:$B$129=B22)*($C$4:$C$129=C22)*($E$4:$E$129=E22),$U$4:$U$129))),U22))</f>
        <v/>
      </c>
      <c r="Y22" s="12" t="str">
        <f t="shared" si="21"/>
        <v/>
      </c>
      <c r="Z22" s="12" t="str">
        <f t="shared" si="22"/>
        <v/>
      </c>
      <c r="AA22" s="12" t="str">
        <f t="shared" si="23"/>
        <v/>
      </c>
      <c r="AB22" s="12" t="str">
        <f t="shared" si="24"/>
        <v/>
      </c>
      <c r="AC22" s="12">
        <f t="shared" si="25"/>
        <v>988.65</v>
      </c>
    </row>
    <row r="23" spans="1:29" x14ac:dyDescent="0.2">
      <c r="A23" s="3" t="s">
        <v>33</v>
      </c>
      <c r="B23" s="3" t="s">
        <v>37</v>
      </c>
      <c r="C23" s="3" t="s">
        <v>34</v>
      </c>
      <c r="D23" s="3" t="s">
        <v>35</v>
      </c>
      <c r="E23" s="3" t="s">
        <v>36</v>
      </c>
      <c r="F23" s="9">
        <v>43678</v>
      </c>
      <c r="G23" s="3">
        <v>1</v>
      </c>
      <c r="H23" s="3">
        <v>1476.09</v>
      </c>
      <c r="I23" s="3">
        <v>21</v>
      </c>
      <c r="J23" s="10">
        <f t="shared" si="13"/>
        <v>2019</v>
      </c>
      <c r="K23" s="3" t="str" cm="1">
        <f t="array" ref="K23">IF(I23="","no unit",IF(I23=0,"0 unit",IF(H23/I23=1,"$1 rate",IF(AND(MAX(IF(($A$4:$A$129=A23)*($B$4:$B$129=B23)*($C$4:$C$129=C23)*($E$4:$E$129=E23),$I$4:$I$129))=1,COUNTIFS($A$4:$A$129,A23,$B$4:$B$129,B23,$C$4:$C$129,C23,$E$4:$E$129,E23,$J$4:$J$129,2019,$H$4:$H$129,MODE(IF(($A$4:$A$129=A23)*($B$4:$B$129=B23)*($C$4:$C$129=C23)*($E$4:$E$129=E23)*($J$4:$J$129=2019),$H$4:$H$129)))&lt;2),"1 unit","include"))))</f>
        <v>include</v>
      </c>
      <c r="L23" s="11">
        <v>8.2000000000000003E-2</v>
      </c>
      <c r="M23" s="12">
        <v>1.48</v>
      </c>
      <c r="N23" s="12">
        <v>76.05</v>
      </c>
      <c r="O23" s="13">
        <f t="shared" si="14"/>
        <v>70.290000000000006</v>
      </c>
      <c r="P23" s="12">
        <f t="array" ref="P23">IF(OR(J23=2020,K23&lt;&gt;"include"),"",IFERROR(MAX(_xlfn.MODE.MULT(IF(($A$4:$A$129=A23)*($B$4:$B$129=B23)*($C$4:$C$129=C23)*($J$4:$J$129=J23)*($E$4:$E$129=E23),$O$4:$O$129))),O23))</f>
        <v>70.290000000000006</v>
      </c>
      <c r="Q23" s="12">
        <f t="shared" si="15"/>
        <v>70.290000000000006</v>
      </c>
      <c r="R23" s="12">
        <f t="shared" si="16"/>
        <v>70.290000000000006</v>
      </c>
      <c r="S23" s="12">
        <f t="shared" si="17"/>
        <v>77.53</v>
      </c>
      <c r="T23" s="14"/>
      <c r="U23" s="12">
        <f t="shared" si="18"/>
        <v>77.53</v>
      </c>
      <c r="V23" s="12">
        <f t="shared" si="19"/>
        <v>76.05</v>
      </c>
      <c r="W23" s="12" t="str">
        <f t="shared" si="20"/>
        <v/>
      </c>
      <c r="X23" s="12" t="str">
        <f t="array" ref="X23">IF(OR(J23=2019,K23&lt;&gt;"include"),"",IFERROR(MAX(_xlfn.MODE.MULT(IF(($A$4:$A$129=A23)*($B$4:$B$129=B23)*($C$4:$C$129=C23)*($E$4:$E$129=E23),$U$4:$U$129))),U23))</f>
        <v/>
      </c>
      <c r="Y23" s="12" t="str">
        <f t="shared" si="21"/>
        <v/>
      </c>
      <c r="Z23" s="12" t="str">
        <f t="shared" si="22"/>
        <v/>
      </c>
      <c r="AA23" s="12" t="str">
        <f t="shared" si="23"/>
        <v/>
      </c>
      <c r="AB23" s="12" t="str">
        <f t="shared" si="24"/>
        <v/>
      </c>
      <c r="AC23" s="12">
        <f t="shared" si="25"/>
        <v>1597.05</v>
      </c>
    </row>
    <row r="24" spans="1:29" x14ac:dyDescent="0.2">
      <c r="A24" s="3" t="s">
        <v>33</v>
      </c>
      <c r="B24" s="3" t="s">
        <v>37</v>
      </c>
      <c r="C24" s="3" t="s">
        <v>34</v>
      </c>
      <c r="D24" s="3" t="s">
        <v>35</v>
      </c>
      <c r="E24" s="3" t="s">
        <v>36</v>
      </c>
      <c r="F24" s="9">
        <v>43709</v>
      </c>
      <c r="G24" s="3">
        <v>1</v>
      </c>
      <c r="H24" s="3">
        <v>1405.8</v>
      </c>
      <c r="I24" s="3">
        <v>20</v>
      </c>
      <c r="J24" s="10">
        <f t="shared" si="13"/>
        <v>2019</v>
      </c>
      <c r="K24" s="3" t="str" cm="1">
        <f t="array" ref="K24">IF(I24="","no unit",IF(I24=0,"0 unit",IF(H24/I24=1,"$1 rate",IF(AND(MAX(IF(($A$4:$A$129=A24)*($B$4:$B$129=B24)*($C$4:$C$129=C24)*($E$4:$E$129=E24),$I$4:$I$129))=1,COUNTIFS($A$4:$A$129,A24,$B$4:$B$129,B24,$C$4:$C$129,C24,$E$4:$E$129,E24,$J$4:$J$129,2019,$H$4:$H$129,MODE(IF(($A$4:$A$129=A24)*($B$4:$B$129=B24)*($C$4:$C$129=C24)*($E$4:$E$129=E24)*($J$4:$J$129=2019),$H$4:$H$129)))&lt;2),"1 unit","include"))))</f>
        <v>include</v>
      </c>
      <c r="L24" s="11">
        <v>8.2000000000000003E-2</v>
      </c>
      <c r="M24" s="12">
        <v>1.48</v>
      </c>
      <c r="N24" s="12">
        <v>76.05</v>
      </c>
      <c r="O24" s="13">
        <f t="shared" si="14"/>
        <v>70.290000000000006</v>
      </c>
      <c r="P24" s="12">
        <f t="array" ref="P24">IF(OR(J24=2020,K24&lt;&gt;"include"),"",IFERROR(MAX(_xlfn.MODE.MULT(IF(($A$4:$A$129=A24)*($B$4:$B$129=B24)*($C$4:$C$129=C24)*($J$4:$J$129=J24)*($E$4:$E$129=E24),$O$4:$O$129))),O24))</f>
        <v>70.290000000000006</v>
      </c>
      <c r="Q24" s="12">
        <f t="shared" si="15"/>
        <v>70.290000000000006</v>
      </c>
      <c r="R24" s="12">
        <f t="shared" si="16"/>
        <v>70.290000000000006</v>
      </c>
      <c r="S24" s="12">
        <f t="shared" si="17"/>
        <v>77.53</v>
      </c>
      <c r="T24" s="14"/>
      <c r="U24" s="12">
        <f t="shared" si="18"/>
        <v>77.53</v>
      </c>
      <c r="V24" s="12">
        <f t="shared" si="19"/>
        <v>76.05</v>
      </c>
      <c r="W24" s="12" t="str">
        <f t="shared" si="20"/>
        <v/>
      </c>
      <c r="X24" s="12" t="str">
        <f t="array" ref="X24">IF(OR(J24=2019,K24&lt;&gt;"include"),"",IFERROR(MAX(_xlfn.MODE.MULT(IF(($A$4:$A$129=A24)*($B$4:$B$129=B24)*($C$4:$C$129=C24)*($E$4:$E$129=E24),$U$4:$U$129))),U24))</f>
        <v/>
      </c>
      <c r="Y24" s="12" t="str">
        <f t="shared" si="21"/>
        <v/>
      </c>
      <c r="Z24" s="12" t="str">
        <f t="shared" si="22"/>
        <v/>
      </c>
      <c r="AA24" s="12" t="str">
        <f t="shared" si="23"/>
        <v/>
      </c>
      <c r="AB24" s="12" t="str">
        <f t="shared" si="24"/>
        <v/>
      </c>
      <c r="AC24" s="12">
        <f t="shared" si="25"/>
        <v>1521</v>
      </c>
    </row>
    <row r="25" spans="1:29" x14ac:dyDescent="0.2">
      <c r="A25" s="3" t="s">
        <v>33</v>
      </c>
      <c r="B25" s="3" t="s">
        <v>37</v>
      </c>
      <c r="C25" s="3" t="s">
        <v>34</v>
      </c>
      <c r="D25" s="3" t="s">
        <v>35</v>
      </c>
      <c r="E25" s="3" t="s">
        <v>36</v>
      </c>
      <c r="F25" s="9">
        <v>43739</v>
      </c>
      <c r="G25" s="3">
        <v>2</v>
      </c>
      <c r="H25" s="3">
        <v>1301.77</v>
      </c>
      <c r="I25" s="3">
        <v>17</v>
      </c>
      <c r="J25" s="10">
        <f t="shared" si="13"/>
        <v>2019</v>
      </c>
      <c r="K25" s="3" t="str" cm="1">
        <f t="array" ref="K25">IF(I25="","no unit",IF(I25=0,"0 unit",IF(H25/I25=1,"$1 rate",IF(AND(MAX(IF(($A$4:$A$129=A25)*($B$4:$B$129=B25)*($C$4:$C$129=C25)*($E$4:$E$129=E25),$I$4:$I$129))=1,COUNTIFS($A$4:$A$129,A25,$B$4:$B$129,B25,$C$4:$C$129,C25,$E$4:$E$129,E25,$J$4:$J$129,2019,$H$4:$H$129,MODE(IF(($A$4:$A$129=A25)*($B$4:$B$129=B25)*($C$4:$C$129=C25)*($E$4:$E$129=E25)*($J$4:$J$129=2019),$H$4:$H$129)))&lt;2),"1 unit","include"))))</f>
        <v>include</v>
      </c>
      <c r="L25" s="11">
        <v>8.2000000000000003E-2</v>
      </c>
      <c r="M25" s="12">
        <v>1.48</v>
      </c>
      <c r="N25" s="12">
        <v>76.05</v>
      </c>
      <c r="O25" s="13">
        <f t="shared" si="14"/>
        <v>76.569999999999993</v>
      </c>
      <c r="P25" s="12">
        <f t="array" ref="P25">IF(OR(J25=2020,K25&lt;&gt;"include"),"",IFERROR(MAX(_xlfn.MODE.MULT(IF(($A$4:$A$129=A25)*($B$4:$B$129=B25)*($C$4:$C$129=C25)*($J$4:$J$129=J25)*($E$4:$E$129=E25),$O$4:$O$129))),O25))</f>
        <v>70.290000000000006</v>
      </c>
      <c r="Q25" s="12">
        <f t="shared" si="15"/>
        <v>76.569999999999993</v>
      </c>
      <c r="R25" s="12">
        <f t="shared" si="16"/>
        <v>75.089999999999989</v>
      </c>
      <c r="S25" s="12">
        <f t="shared" si="17"/>
        <v>82.73</v>
      </c>
      <c r="T25" s="14"/>
      <c r="U25" s="12">
        <f t="shared" si="18"/>
        <v>82.73</v>
      </c>
      <c r="V25" s="12">
        <f t="shared" si="19"/>
        <v>81.25</v>
      </c>
      <c r="W25" s="12" t="str">
        <f t="shared" si="20"/>
        <v/>
      </c>
      <c r="X25" s="12" t="str">
        <f t="array" ref="X25">IF(OR(J25=2019,K25&lt;&gt;"include"),"",IFERROR(MAX(_xlfn.MODE.MULT(IF(($A$4:$A$129=A25)*($B$4:$B$129=B25)*($C$4:$C$129=C25)*($E$4:$E$129=E25),$U$4:$U$129))),U25))</f>
        <v/>
      </c>
      <c r="Y25" s="12" t="str">
        <f t="shared" si="21"/>
        <v/>
      </c>
      <c r="Z25" s="12" t="str">
        <f t="shared" si="22"/>
        <v/>
      </c>
      <c r="AA25" s="12" t="str">
        <f t="shared" si="23"/>
        <v/>
      </c>
      <c r="AB25" s="12" t="str">
        <f t="shared" si="24"/>
        <v/>
      </c>
      <c r="AC25" s="12">
        <f t="shared" si="25"/>
        <v>1381.25</v>
      </c>
    </row>
    <row r="26" spans="1:29" x14ac:dyDescent="0.2">
      <c r="A26" s="3" t="s">
        <v>33</v>
      </c>
      <c r="B26" s="3" t="s">
        <v>37</v>
      </c>
      <c r="C26" s="3" t="s">
        <v>34</v>
      </c>
      <c r="D26" s="3" t="s">
        <v>35</v>
      </c>
      <c r="E26" s="3" t="s">
        <v>36</v>
      </c>
      <c r="F26" s="9">
        <v>43770</v>
      </c>
      <c r="G26" s="3">
        <v>1</v>
      </c>
      <c r="H26" s="3">
        <v>843.48</v>
      </c>
      <c r="I26" s="3">
        <v>12</v>
      </c>
      <c r="J26" s="10">
        <f t="shared" si="13"/>
        <v>2019</v>
      </c>
      <c r="K26" s="3" t="str" cm="1">
        <f t="array" ref="K26">IF(I26="","no unit",IF(I26=0,"0 unit",IF(H26/I26=1,"$1 rate",IF(AND(MAX(IF(($A$4:$A$129=A26)*($B$4:$B$129=B26)*($C$4:$C$129=C26)*($E$4:$E$129=E26),$I$4:$I$129))=1,COUNTIFS($A$4:$A$129,A26,$B$4:$B$129,B26,$C$4:$C$129,C26,$E$4:$E$129,E26,$J$4:$J$129,2019,$H$4:$H$129,MODE(IF(($A$4:$A$129=A26)*($B$4:$B$129=B26)*($C$4:$C$129=C26)*($E$4:$E$129=E26)*($J$4:$J$129=2019),$H$4:$H$129)))&lt;2),"1 unit","include"))))</f>
        <v>include</v>
      </c>
      <c r="L26" s="11">
        <v>8.2000000000000003E-2</v>
      </c>
      <c r="M26" s="12">
        <v>1.48</v>
      </c>
      <c r="N26" s="12">
        <v>76.05</v>
      </c>
      <c r="O26" s="13">
        <f t="shared" si="14"/>
        <v>70.290000000000006</v>
      </c>
      <c r="P26" s="12">
        <f t="array" ref="P26">IF(OR(J26=2020,K26&lt;&gt;"include"),"",IFERROR(MAX(_xlfn.MODE.MULT(IF(($A$4:$A$129=A26)*($B$4:$B$129=B26)*($C$4:$C$129=C26)*($J$4:$J$129=J26)*($E$4:$E$129=E26),$O$4:$O$129))),O26))</f>
        <v>70.290000000000006</v>
      </c>
      <c r="Q26" s="12">
        <f t="shared" si="15"/>
        <v>70.290000000000006</v>
      </c>
      <c r="R26" s="12">
        <f t="shared" si="16"/>
        <v>70.290000000000006</v>
      </c>
      <c r="S26" s="12">
        <f t="shared" si="17"/>
        <v>77.53</v>
      </c>
      <c r="T26" s="14"/>
      <c r="U26" s="12">
        <f t="shared" si="18"/>
        <v>77.53</v>
      </c>
      <c r="V26" s="12">
        <f t="shared" si="19"/>
        <v>76.05</v>
      </c>
      <c r="W26" s="12" t="str">
        <f t="shared" si="20"/>
        <v/>
      </c>
      <c r="X26" s="12" t="str">
        <f t="array" ref="X26">IF(OR(J26=2019,K26&lt;&gt;"include"),"",IFERROR(MAX(_xlfn.MODE.MULT(IF(($A$4:$A$129=A26)*($B$4:$B$129=B26)*($C$4:$C$129=C26)*($E$4:$E$129=E26),$U$4:$U$129))),U26))</f>
        <v/>
      </c>
      <c r="Y26" s="12" t="str">
        <f t="shared" si="21"/>
        <v/>
      </c>
      <c r="Z26" s="12" t="str">
        <f t="shared" si="22"/>
        <v/>
      </c>
      <c r="AA26" s="12" t="str">
        <f t="shared" si="23"/>
        <v/>
      </c>
      <c r="AB26" s="12" t="str">
        <f t="shared" si="24"/>
        <v/>
      </c>
      <c r="AC26" s="12">
        <f t="shared" si="25"/>
        <v>912.6</v>
      </c>
    </row>
    <row r="27" spans="1:29" x14ac:dyDescent="0.2">
      <c r="A27" s="3" t="s">
        <v>33</v>
      </c>
      <c r="B27" s="3" t="s">
        <v>37</v>
      </c>
      <c r="C27" s="3" t="s">
        <v>34</v>
      </c>
      <c r="D27" s="3" t="s">
        <v>35</v>
      </c>
      <c r="E27" s="3" t="s">
        <v>36</v>
      </c>
      <c r="F27" s="9">
        <v>43800</v>
      </c>
      <c r="G27" s="3">
        <v>1</v>
      </c>
      <c r="H27" s="3">
        <v>1054.3499999999999</v>
      </c>
      <c r="I27" s="3">
        <v>15</v>
      </c>
      <c r="J27" s="10">
        <f t="shared" si="13"/>
        <v>2019</v>
      </c>
      <c r="K27" s="3" t="str" cm="1">
        <f t="array" ref="K27">IF(I27="","no unit",IF(I27=0,"0 unit",IF(H27/I27=1,"$1 rate",IF(AND(MAX(IF(($A$4:$A$129=A27)*($B$4:$B$129=B27)*($C$4:$C$129=C27)*($E$4:$E$129=E27),$I$4:$I$129))=1,COUNTIFS($A$4:$A$129,A27,$B$4:$B$129,B27,$C$4:$C$129,C27,$E$4:$E$129,E27,$J$4:$J$129,2019,$H$4:$H$129,MODE(IF(($A$4:$A$129=A27)*($B$4:$B$129=B27)*($C$4:$C$129=C27)*($E$4:$E$129=E27)*($J$4:$J$129=2019),$H$4:$H$129)))&lt;2),"1 unit","include"))))</f>
        <v>include</v>
      </c>
      <c r="L27" s="11">
        <v>8.2000000000000003E-2</v>
      </c>
      <c r="M27" s="12">
        <v>1.48</v>
      </c>
      <c r="N27" s="12">
        <v>76.05</v>
      </c>
      <c r="O27" s="13">
        <f t="shared" si="14"/>
        <v>70.290000000000006</v>
      </c>
      <c r="P27" s="12">
        <f t="array" ref="P27">IF(OR(J27=2020,K27&lt;&gt;"include"),"",IFERROR(MAX(_xlfn.MODE.MULT(IF(($A$4:$A$129=A27)*($B$4:$B$129=B27)*($C$4:$C$129=C27)*($J$4:$J$129=J27)*($E$4:$E$129=E27),$O$4:$O$129))),O27))</f>
        <v>70.290000000000006</v>
      </c>
      <c r="Q27" s="12">
        <f t="shared" si="15"/>
        <v>70.290000000000006</v>
      </c>
      <c r="R27" s="12">
        <f t="shared" si="16"/>
        <v>70.290000000000006</v>
      </c>
      <c r="S27" s="12">
        <f t="shared" si="17"/>
        <v>77.53</v>
      </c>
      <c r="T27" s="14"/>
      <c r="U27" s="12">
        <f t="shared" si="18"/>
        <v>77.53</v>
      </c>
      <c r="V27" s="12">
        <f t="shared" si="19"/>
        <v>76.05</v>
      </c>
      <c r="W27" s="12" t="str">
        <f t="shared" si="20"/>
        <v/>
      </c>
      <c r="X27" s="12" t="str">
        <f t="array" ref="X27">IF(OR(J27=2019,K27&lt;&gt;"include"),"",IFERROR(MAX(_xlfn.MODE.MULT(IF(($A$4:$A$129=A27)*($B$4:$B$129=B27)*($C$4:$C$129=C27)*($E$4:$E$129=E27),$U$4:$U$129))),U27))</f>
        <v/>
      </c>
      <c r="Y27" s="12" t="str">
        <f t="shared" si="21"/>
        <v/>
      </c>
      <c r="Z27" s="12" t="str">
        <f t="shared" si="22"/>
        <v/>
      </c>
      <c r="AA27" s="12" t="str">
        <f t="shared" si="23"/>
        <v/>
      </c>
      <c r="AB27" s="12" t="str">
        <f t="shared" si="24"/>
        <v/>
      </c>
      <c r="AC27" s="12">
        <f t="shared" si="25"/>
        <v>1140.75</v>
      </c>
    </row>
    <row r="28" spans="1:29" x14ac:dyDescent="0.2">
      <c r="A28" s="3" t="s">
        <v>33</v>
      </c>
      <c r="B28" s="3" t="s">
        <v>37</v>
      </c>
      <c r="C28" s="3" t="s">
        <v>34</v>
      </c>
      <c r="D28" s="3" t="s">
        <v>35</v>
      </c>
      <c r="E28" s="3" t="s">
        <v>36</v>
      </c>
      <c r="F28" s="9">
        <v>43831</v>
      </c>
      <c r="G28" s="3">
        <v>1</v>
      </c>
      <c r="H28" s="3">
        <v>1054.3499999999999</v>
      </c>
      <c r="I28" s="3">
        <v>15</v>
      </c>
      <c r="J28" s="10">
        <f t="shared" si="13"/>
        <v>2020</v>
      </c>
      <c r="K28" s="3" t="str" cm="1">
        <f t="array" ref="K28">IF(I28="","no unit",IF(I28=0,"0 unit",IF(H28/I28=1,"$1 rate",IF(AND(MAX(IF(($A$4:$A$129=A28)*($B$4:$B$129=B28)*($C$4:$C$129=C28)*($E$4:$E$129=E28),$I$4:$I$129))=1,COUNTIFS($A$4:$A$129,A28,$B$4:$B$129,B28,$C$4:$C$129,C28,$E$4:$E$129,E28,$J$4:$J$129,2019,$H$4:$H$129,MODE(IF(($A$4:$A$129=A28)*($B$4:$B$129=B28)*($C$4:$C$129=C28)*($E$4:$E$129=E28)*($J$4:$J$129=2019),$H$4:$H$129)))&lt;2),"1 unit","include"))))</f>
        <v>include</v>
      </c>
      <c r="L28" s="11">
        <v>8.2000000000000003E-2</v>
      </c>
      <c r="M28" s="12">
        <v>1.48</v>
      </c>
      <c r="N28" s="12">
        <v>76.05</v>
      </c>
      <c r="O28" s="13" t="str">
        <f t="shared" si="14"/>
        <v/>
      </c>
      <c r="P28" s="12" t="str">
        <f t="array" ref="P28">IF(OR(J28=2020,K28&lt;&gt;"include"),"",IFERROR(MAX(_xlfn.MODE.MULT(IF(($A$4:$A$129=A28)*($B$4:$B$129=B28)*($C$4:$C$129=C28)*($J$4:$J$129=J28)*($E$4:$E$129=E28),$O$4:$O$129))),O28))</f>
        <v/>
      </c>
      <c r="Q28" s="12" t="str">
        <f t="shared" si="15"/>
        <v/>
      </c>
      <c r="R28" s="12" t="str">
        <f t="shared" si="16"/>
        <v/>
      </c>
      <c r="S28" s="12" t="str">
        <f t="shared" si="17"/>
        <v/>
      </c>
      <c r="T28" s="14"/>
      <c r="U28" s="12" t="str">
        <f t="shared" si="18"/>
        <v/>
      </c>
      <c r="V28" s="12" t="str">
        <f t="shared" si="19"/>
        <v/>
      </c>
      <c r="W28" s="12">
        <f t="shared" si="20"/>
        <v>70.290000000000006</v>
      </c>
      <c r="X28" s="12">
        <f t="array" ref="X28">IF(OR(J28=2019,K28&lt;&gt;"include"),"",IFERROR(MAX(_xlfn.MODE.MULT(IF(($A$4:$A$129=A28)*($B$4:$B$129=B28)*($C$4:$C$129=C28)*($E$4:$E$129=E28),$U$4:$U$129))),U28))</f>
        <v>77.53</v>
      </c>
      <c r="Y28" s="12">
        <f t="shared" si="21"/>
        <v>77.53</v>
      </c>
      <c r="Z28" s="12">
        <f t="shared" si="22"/>
        <v>76.05</v>
      </c>
      <c r="AA28" s="12" t="str">
        <f t="shared" si="23"/>
        <v/>
      </c>
      <c r="AB28" s="12" t="str">
        <f t="shared" si="24"/>
        <v/>
      </c>
      <c r="AC28" s="12">
        <f t="shared" si="25"/>
        <v>1140.75</v>
      </c>
    </row>
    <row r="29" spans="1:29" x14ac:dyDescent="0.2">
      <c r="A29" s="3" t="s">
        <v>33</v>
      </c>
      <c r="B29" s="3" t="s">
        <v>37</v>
      </c>
      <c r="C29" s="3" t="s">
        <v>34</v>
      </c>
      <c r="D29" s="3" t="s">
        <v>35</v>
      </c>
      <c r="E29" s="3" t="s">
        <v>36</v>
      </c>
      <c r="F29" s="9">
        <v>43862</v>
      </c>
      <c r="G29" s="3">
        <v>1</v>
      </c>
      <c r="H29" s="3">
        <v>1335.51</v>
      </c>
      <c r="I29" s="3">
        <v>19</v>
      </c>
      <c r="J29" s="10">
        <f t="shared" si="13"/>
        <v>2020</v>
      </c>
      <c r="K29" s="3" t="str" cm="1">
        <f t="array" ref="K29">IF(I29="","no unit",IF(I29=0,"0 unit",IF(H29/I29=1,"$1 rate",IF(AND(MAX(IF(($A$4:$A$129=A29)*($B$4:$B$129=B29)*($C$4:$C$129=C29)*($E$4:$E$129=E29),$I$4:$I$129))=1,COUNTIFS($A$4:$A$129,A29,$B$4:$B$129,B29,$C$4:$C$129,C29,$E$4:$E$129,E29,$J$4:$J$129,2019,$H$4:$H$129,MODE(IF(($A$4:$A$129=A29)*($B$4:$B$129=B29)*($C$4:$C$129=C29)*($E$4:$E$129=E29)*($J$4:$J$129=2019),$H$4:$H$129)))&lt;2),"1 unit","include"))))</f>
        <v>include</v>
      </c>
      <c r="L29" s="11">
        <v>8.2000000000000003E-2</v>
      </c>
      <c r="M29" s="12">
        <v>1.48</v>
      </c>
      <c r="N29" s="12">
        <v>76.05</v>
      </c>
      <c r="O29" s="13" t="str">
        <f t="shared" si="14"/>
        <v/>
      </c>
      <c r="P29" s="12" t="str">
        <f t="array" ref="P29">IF(OR(J29=2020,K29&lt;&gt;"include"),"",IFERROR(MAX(_xlfn.MODE.MULT(IF(($A$4:$A$129=A29)*($B$4:$B$129=B29)*($C$4:$C$129=C29)*($J$4:$J$129=J29)*($E$4:$E$129=E29),$O$4:$O$129))),O29))</f>
        <v/>
      </c>
      <c r="Q29" s="12" t="str">
        <f t="shared" si="15"/>
        <v/>
      </c>
      <c r="R29" s="12" t="str">
        <f t="shared" si="16"/>
        <v/>
      </c>
      <c r="S29" s="12" t="str">
        <f t="shared" si="17"/>
        <v/>
      </c>
      <c r="T29" s="14"/>
      <c r="U29" s="12" t="str">
        <f t="shared" si="18"/>
        <v/>
      </c>
      <c r="V29" s="12" t="str">
        <f t="shared" si="19"/>
        <v/>
      </c>
      <c r="W29" s="12">
        <f t="shared" si="20"/>
        <v>70.290000000000006</v>
      </c>
      <c r="X29" s="12">
        <f t="array" ref="X29">IF(OR(J29=2019,K29&lt;&gt;"include"),"",IFERROR(MAX(_xlfn.MODE.MULT(IF(($A$4:$A$129=A29)*($B$4:$B$129=B29)*($C$4:$C$129=C29)*($E$4:$E$129=E29),$U$4:$U$129))),U29))</f>
        <v>77.53</v>
      </c>
      <c r="Y29" s="12">
        <f t="shared" si="21"/>
        <v>77.53</v>
      </c>
      <c r="Z29" s="12">
        <f t="shared" si="22"/>
        <v>76.05</v>
      </c>
      <c r="AA29" s="12" t="str">
        <f t="shared" si="23"/>
        <v/>
      </c>
      <c r="AB29" s="12" t="str">
        <f t="shared" si="24"/>
        <v/>
      </c>
      <c r="AC29" s="12">
        <f t="shared" si="25"/>
        <v>1444.95</v>
      </c>
    </row>
    <row r="31" spans="1:29" ht="13.5" x14ac:dyDescent="0.25">
      <c r="R31" s="18" t="s">
        <v>69</v>
      </c>
    </row>
    <row r="32" spans="1:29" x14ac:dyDescent="0.2">
      <c r="A32" s="3" t="s">
        <v>46</v>
      </c>
      <c r="B32" s="3" t="s">
        <v>49</v>
      </c>
      <c r="C32" s="3" t="s">
        <v>47</v>
      </c>
      <c r="D32" s="3" t="s">
        <v>35</v>
      </c>
      <c r="E32" s="3" t="s">
        <v>48</v>
      </c>
      <c r="F32" s="9">
        <v>43770</v>
      </c>
      <c r="G32" s="3">
        <v>1</v>
      </c>
      <c r="H32" s="3">
        <v>1871.52</v>
      </c>
      <c r="I32" s="3">
        <v>14</v>
      </c>
      <c r="J32" s="10">
        <f t="shared" ref="J32:J35" si="26">YEAR(F32)</f>
        <v>2019</v>
      </c>
      <c r="K32" s="3" t="str" cm="1">
        <f t="array" ref="K32">IF(I32="","no unit",IF(I32=0,"0 unit",IF(H32/I32=1,"$1 rate",IF(AND(MAX(IF(($A$4:$A$129=A32)*($B$4:$B$129=B32)*($C$4:$C$129=C32)*($E$4:$E$129=E32),$I$4:$I$129))=1,COUNTIFS($A$4:$A$129,A32,$B$4:$B$129,B32,$C$4:$C$129,C32,$E$4:$E$129,E32,$J$4:$J$129,2019,$H$4:$H$129,MODE(IF(($A$4:$A$129=A32)*($B$4:$B$129=B32)*($C$4:$C$129=C32)*($E$4:$E$129=E32)*($J$4:$J$129=2019),$H$4:$H$129)))&lt;2),"1 unit","include"))))</f>
        <v>include</v>
      </c>
      <c r="L32" s="11">
        <v>8.2000000000000003E-2</v>
      </c>
      <c r="M32" s="4"/>
      <c r="N32" s="4"/>
      <c r="O32" s="13">
        <f t="shared" ref="O32:O35" si="27">IF(AND(J32=2019,K32="include"),IFERROR(ROUND(H32/I32,2),""),"")</f>
        <v>133.68</v>
      </c>
      <c r="P32" s="12">
        <f t="array" ref="P32">IF(OR(J32=2020,K32&lt;&gt;"include"),"",IFERROR(MAX(_xlfn.MODE.MULT(IF(($A$4:$A$129=A32)*($B$4:$B$129=B32)*($C$4:$C$129=C32)*($J$4:$J$129=J32)*($E$4:$E$129=E32),$O$4:$O$129))),O32))</f>
        <v>133.68</v>
      </c>
      <c r="Q32" s="12">
        <f t="shared" ref="Q32:Q35" si="28">IF(OR(J32=2020,K32&lt;&gt;"include"),"",IF(AND(O32&lt;=P32,O32&gt;=P32*0.2),P32,O32))</f>
        <v>133.68</v>
      </c>
      <c r="R32" s="12">
        <f t="shared" ref="R32:R35" si="29">IF(OR(J32=2020,K32&lt;&gt;"include"),"",IF(Q32&gt;=ROUND(MAX(0,N32)/(1+L32),2),MAX(ROUND(MAX(0,N32)/(1+L32),2),Q32-MAX(0,M32)),Q32))</f>
        <v>133.68</v>
      </c>
      <c r="S32" s="12">
        <f t="shared" ref="S32:S35" si="30">IFERROR(IF(OR(J32=2020,K32&lt;&gt;"include"),"",IF(Q32&lt;P32*0.2,ROUND(Q32*(1+L32),2),IF(R32&lt;MAX(0,N32)*0.8,ROUND(R32*(1+L32),2),ROUND(R32*(1+L32),2)+MAX(0,M32)))),"")</f>
        <v>144.63999999999999</v>
      </c>
      <c r="T32" s="14">
        <v>135.91</v>
      </c>
      <c r="U32" s="12">
        <f t="shared" ref="U32:U35" si="31">IFERROR(IF(AND(J32=2019,T32=""),S32,IF(J32=2020,"",IF(AND(S32/T32&gt;0.2,S32/T32&lt;=1),T32,S32))),"")</f>
        <v>144.63999999999999</v>
      </c>
      <c r="V32" s="12">
        <f t="shared" ref="V32:V35" si="32">IF(OR(J32=2020,K32&lt;&gt;"include"),"",IF(Q32&lt;P32*0.2,U32,IF(R32&lt;MAX(0,N32)*0.8,U32,U32-MAX(0,M32))))</f>
        <v>144.63999999999999</v>
      </c>
      <c r="W32" s="12" t="str">
        <f t="shared" ref="W32:W35" si="33">IF(AND(J32=2020,K32="include"),IFERROR(ROUND(H32/I32,2),""),"")</f>
        <v/>
      </c>
      <c r="X32" s="12" t="str">
        <f t="array" ref="X32">IF(OR(J32=2019,K32&lt;&gt;"include"),"",IFERROR(MAX(_xlfn.MODE.MULT(IF(($A$4:$A$129=A32)*($B$4:$B$129=B32)*($C$4:$C$129=C32)*($E$4:$E$129=E32),$U$4:$U$129))),U32))</f>
        <v/>
      </c>
      <c r="Y32" s="12" t="str">
        <f t="shared" ref="Y32:Y35" si="34">IF(OR(J32=2019,K32&lt;&gt;"include"),"",IFERROR(IF(AND(W32/X32&gt;0.2,W32/X32&lt;=1),X32,W32),W32))</f>
        <v/>
      </c>
      <c r="Z32" s="12" t="str">
        <f t="shared" ref="Z32:Z35" si="35">IF(OR(J32=2019,K32&lt;&gt;"include"),"",IFERROR(IF(W32&lt;X32*0.2,W32,IF(Y32&lt;MAX(0,N32)*0.8,Y32,Y32-MAX(0,M32))),Y32-MAX(0,M32)))</f>
        <v/>
      </c>
      <c r="AA32" s="12" t="str">
        <f t="shared" ref="AA32:AA35" si="36">IF(OR(J32=2020,K32="include"),"",ROUND(H32*(1+L32),2))</f>
        <v/>
      </c>
      <c r="AB32" s="12" t="str">
        <f t="shared" ref="AB32:AB35" si="37">IF(OR(J32=2019,K32="include"),"",H32)</f>
        <v/>
      </c>
      <c r="AC32" s="12">
        <f t="shared" ref="AC32:AC35" si="38">IF(AND(J32=2019,K32="include"),ROUND(I32*V32,2),IF(AND(J32=2020,K32="include"),ROUND(I32*Z32,2),IF(AND(J32=2019,K32&lt;&gt;"include"),AA32,AB32)))</f>
        <v>2024.96</v>
      </c>
    </row>
    <row r="33" spans="1:29" x14ac:dyDescent="0.2">
      <c r="A33" s="3" t="s">
        <v>46</v>
      </c>
      <c r="B33" s="3" t="s">
        <v>49</v>
      </c>
      <c r="C33" s="3" t="s">
        <v>47</v>
      </c>
      <c r="D33" s="3" t="s">
        <v>35</v>
      </c>
      <c r="E33" s="3" t="s">
        <v>48</v>
      </c>
      <c r="F33" s="9">
        <v>43800</v>
      </c>
      <c r="G33" s="3">
        <v>1</v>
      </c>
      <c r="H33" s="3">
        <v>2005.2</v>
      </c>
      <c r="I33" s="3">
        <v>15</v>
      </c>
      <c r="J33" s="10">
        <f t="shared" si="26"/>
        <v>2019</v>
      </c>
      <c r="K33" s="3" t="str" cm="1">
        <f t="array" ref="K33">IF(I33="","no unit",IF(I33=0,"0 unit",IF(H33/I33=1,"$1 rate",IF(AND(MAX(IF(($A$4:$A$129=A33)*($B$4:$B$129=B33)*($C$4:$C$129=C33)*($E$4:$E$129=E33),$I$4:$I$129))=1,COUNTIFS($A$4:$A$129,A33,$B$4:$B$129,B33,$C$4:$C$129,C33,$E$4:$E$129,E33,$J$4:$J$129,2019,$H$4:$H$129,MODE(IF(($A$4:$A$129=A33)*($B$4:$B$129=B33)*($C$4:$C$129=C33)*($E$4:$E$129=E33)*($J$4:$J$129=2019),$H$4:$H$129)))&lt;2),"1 unit","include"))))</f>
        <v>include</v>
      </c>
      <c r="L33" s="11">
        <v>8.2000000000000003E-2</v>
      </c>
      <c r="M33" s="4"/>
      <c r="N33" s="4"/>
      <c r="O33" s="13">
        <f t="shared" ref="O33" si="39">IF(AND(J33=2019,K33="include"),IFERROR(ROUND(H33/I33,2),""),"")</f>
        <v>133.68</v>
      </c>
      <c r="P33" s="12">
        <f t="array" ref="P33">IF(OR(J33=2020,K33&lt;&gt;"include"),"",IFERROR(MAX(_xlfn.MODE.MULT(IF(($A$4:$A$129=A33)*($B$4:$B$129=B33)*($C$4:$C$129=C33)*($J$4:$J$129=J33)*($E$4:$E$129=E33),$O$4:$O$129))),O33))</f>
        <v>133.68</v>
      </c>
      <c r="Q33" s="12">
        <f t="shared" ref="Q33" si="40">IF(OR(J33=2020,K33&lt;&gt;"include"),"",IF(AND(O33&lt;=P33,O33&gt;=P33*0.2),P33,O33))</f>
        <v>133.68</v>
      </c>
      <c r="R33" s="12">
        <f t="shared" ref="R33" si="41">IF(OR(J33=2020,K33&lt;&gt;"include"),"",IF(Q33&gt;=ROUND(MAX(0,N33)/(1+L33),2),MAX(ROUND(MAX(0,N33)/(1+L33),2),Q33-MAX(0,M33)),Q33))</f>
        <v>133.68</v>
      </c>
      <c r="S33" s="12">
        <f t="shared" ref="S33" si="42">IFERROR(IF(OR(J33=2020,K33&lt;&gt;"include"),"",IF(Q33&lt;P33*0.2,ROUND(Q33*(1+L33),2),IF(R33&lt;MAX(0,N33)*0.8,ROUND(R33*(1+L33),2),ROUND(R33*(1+L33),2)+MAX(0,M33)))),"")</f>
        <v>144.63999999999999</v>
      </c>
      <c r="T33" s="14">
        <v>135.91</v>
      </c>
      <c r="U33" s="12">
        <f t="shared" ref="U33" si="43">IFERROR(IF(AND(J33=2019,T33=""),S33,IF(J33=2020,"",IF(AND(S33/T33&gt;0.2,S33/T33&lt;=1),T33,S33))),"")</f>
        <v>144.63999999999999</v>
      </c>
      <c r="V33" s="12">
        <f t="shared" ref="V33" si="44">IF(OR(J33=2020,K33&lt;&gt;"include"),"",IF(Q33&lt;P33*0.2,U33,IF(R33&lt;MAX(0,N33)*0.8,U33,U33-MAX(0,M33))))</f>
        <v>144.63999999999999</v>
      </c>
      <c r="W33" s="12" t="str">
        <f t="shared" ref="W33" si="45">IF(AND(J33=2020,K33="include"),IFERROR(ROUND(H33/I33,2),""),"")</f>
        <v/>
      </c>
      <c r="X33" s="12" t="str">
        <f t="array" ref="X33">IF(OR(J33=2019,K33&lt;&gt;"include"),"",IFERROR(MAX(_xlfn.MODE.MULT(IF(($A$4:$A$129=A33)*($B$4:$B$129=B33)*($C$4:$C$129=C33)*($E$4:$E$129=E33),$U$4:$U$129))),U33))</f>
        <v/>
      </c>
      <c r="Y33" s="12" t="str">
        <f t="shared" ref="Y33" si="46">IF(OR(J33=2019,K33&lt;&gt;"include"),"",IFERROR(IF(AND(W33/X33&gt;0.2,W33/X33&lt;=1),X33,W33),W33))</f>
        <v/>
      </c>
      <c r="Z33" s="12" t="str">
        <f t="shared" ref="Z33" si="47">IF(OR(J33=2019,K33&lt;&gt;"include"),"",IFERROR(IF(W33&lt;X33*0.2,W33,IF(Y33&lt;MAX(0,N33)*0.8,Y33,Y33-MAX(0,M33))),Y33-MAX(0,M33)))</f>
        <v/>
      </c>
      <c r="AA33" s="12" t="str">
        <f t="shared" ref="AA33" si="48">IF(OR(J33=2020,K33="include"),"",ROUND(H33*(1+L33),2))</f>
        <v/>
      </c>
      <c r="AB33" s="12" t="str">
        <f t="shared" ref="AB33" si="49">IF(OR(J33=2019,K33="include"),"",H33)</f>
        <v/>
      </c>
      <c r="AC33" s="12">
        <f t="shared" ref="AC33" si="50">IF(AND(J33=2019,K33="include"),ROUND(I33*V33,2),IF(AND(J33=2020,K33="include"),ROUND(I33*Z33,2),IF(AND(J33=2019,K33&lt;&gt;"include"),AA33,AB33)))</f>
        <v>2169.6</v>
      </c>
    </row>
    <row r="34" spans="1:29" x14ac:dyDescent="0.2">
      <c r="A34" s="3" t="s">
        <v>46</v>
      </c>
      <c r="B34" s="3" t="s">
        <v>49</v>
      </c>
      <c r="C34" s="3" t="s">
        <v>47</v>
      </c>
      <c r="D34" s="3" t="s">
        <v>35</v>
      </c>
      <c r="E34" s="3" t="s">
        <v>48</v>
      </c>
      <c r="F34" s="9">
        <v>43831</v>
      </c>
      <c r="G34" s="3">
        <v>2</v>
      </c>
      <c r="H34" s="3">
        <v>2582.29</v>
      </c>
      <c r="I34" s="3">
        <v>19</v>
      </c>
      <c r="J34" s="10">
        <f t="shared" si="26"/>
        <v>2020</v>
      </c>
      <c r="K34" s="3" t="str" cm="1">
        <f t="array" ref="K34">IF(I34="","no unit",IF(I34=0,"0 unit",IF(H34/I34=1,"$1 rate",IF(AND(MAX(IF(($A$4:$A$129=A34)*($B$4:$B$129=B34)*($C$4:$C$129=C34)*($E$4:$E$129=E34),$I$4:$I$129))=1,COUNTIFS($A$4:$A$129,A34,$B$4:$B$129,B34,$C$4:$C$129,C34,$E$4:$E$129,E34,$J$4:$J$129,2019,$H$4:$H$129,MODE(IF(($A$4:$A$129=A34)*($B$4:$B$129=B34)*($C$4:$C$129=C34)*($E$4:$E$129=E34)*($J$4:$J$129=2019),$H$4:$H$129)))&lt;2),"1 unit","include"))))</f>
        <v>include</v>
      </c>
      <c r="L34" s="11">
        <v>8.2000000000000003E-2</v>
      </c>
      <c r="M34" s="4"/>
      <c r="N34" s="4"/>
      <c r="O34" s="13" t="str">
        <f t="shared" si="27"/>
        <v/>
      </c>
      <c r="P34" s="12" t="str">
        <f t="array" ref="P34">IF(OR(J34=2020,K34&lt;&gt;"include"),"",IFERROR(MAX(_xlfn.MODE.MULT(IF(($A$4:$A$129=A34)*($B$4:$B$129=B34)*($C$4:$C$129=C34)*($J$4:$J$129=J34)*($E$4:$E$129=E34),$O$4:$O$129))),O34))</f>
        <v/>
      </c>
      <c r="Q34" s="12" t="str">
        <f t="shared" si="28"/>
        <v/>
      </c>
      <c r="R34" s="12" t="str">
        <f t="shared" si="29"/>
        <v/>
      </c>
      <c r="S34" s="12" t="str">
        <f t="shared" si="30"/>
        <v/>
      </c>
      <c r="T34" s="14">
        <v>135.91</v>
      </c>
      <c r="U34" s="12" t="str">
        <f t="shared" si="31"/>
        <v/>
      </c>
      <c r="V34" s="12" t="str">
        <f t="shared" si="32"/>
        <v/>
      </c>
      <c r="W34" s="12">
        <f t="shared" si="33"/>
        <v>135.91</v>
      </c>
      <c r="X34" s="12">
        <f t="array" ref="X34">IF(OR(J34=2019,K34&lt;&gt;"include"),"",IFERROR(MAX(_xlfn.MODE.MULT(IF(($A$4:$A$129=A34)*($B$4:$B$129=B34)*($C$4:$C$129=C34)*($E$4:$E$129=E34),$U$4:$U$129))),U34))</f>
        <v>144.63999999999999</v>
      </c>
      <c r="Y34" s="12">
        <f t="shared" si="34"/>
        <v>144.63999999999999</v>
      </c>
      <c r="Z34" s="12">
        <f t="shared" si="35"/>
        <v>144.63999999999999</v>
      </c>
      <c r="AA34" s="12" t="str">
        <f t="shared" si="36"/>
        <v/>
      </c>
      <c r="AB34" s="12" t="str">
        <f t="shared" si="37"/>
        <v/>
      </c>
      <c r="AC34" s="12">
        <f t="shared" si="38"/>
        <v>2748.16</v>
      </c>
    </row>
    <row r="35" spans="1:29" x14ac:dyDescent="0.2">
      <c r="A35" s="3" t="s">
        <v>46</v>
      </c>
      <c r="B35" s="3" t="s">
        <v>49</v>
      </c>
      <c r="C35" s="3" t="s">
        <v>47</v>
      </c>
      <c r="D35" s="3" t="s">
        <v>35</v>
      </c>
      <c r="E35" s="3" t="s">
        <v>48</v>
      </c>
      <c r="F35" s="9">
        <v>43862</v>
      </c>
      <c r="G35" s="3">
        <v>2</v>
      </c>
      <c r="H35" s="3">
        <v>2310.4699999999998</v>
      </c>
      <c r="I35" s="3">
        <v>17</v>
      </c>
      <c r="J35" s="10">
        <f t="shared" si="26"/>
        <v>2020</v>
      </c>
      <c r="K35" s="3" t="str" cm="1">
        <f t="array" ref="K35">IF(I35="","no unit",IF(I35=0,"0 unit",IF(H35/I35=1,"$1 rate",IF(AND(MAX(IF(($A$4:$A$129=A35)*($B$4:$B$129=B35)*($C$4:$C$129=C35)*($E$4:$E$129=E35),$I$4:$I$129))=1,COUNTIFS($A$4:$A$129,A35,$B$4:$B$129,B35,$C$4:$C$129,C35,$E$4:$E$129,E35,$J$4:$J$129,2019,$H$4:$H$129,MODE(IF(($A$4:$A$129=A35)*($B$4:$B$129=B35)*($C$4:$C$129=C35)*($E$4:$E$129=E35)*($J$4:$J$129=2019),$H$4:$H$129)))&lt;2),"1 unit","include"))))</f>
        <v>include</v>
      </c>
      <c r="L35" s="11">
        <v>8.2000000000000003E-2</v>
      </c>
      <c r="M35" s="4"/>
      <c r="N35" s="4"/>
      <c r="O35" s="13" t="str">
        <f t="shared" si="27"/>
        <v/>
      </c>
      <c r="P35" s="12" t="str">
        <f t="array" ref="P35">IF(OR(J35=2020,K35&lt;&gt;"include"),"",IFERROR(MAX(_xlfn.MODE.MULT(IF(($A$4:$A$129=A35)*($B$4:$B$129=B35)*($C$4:$C$129=C35)*($J$4:$J$129=J35)*($E$4:$E$129=E35),$O$4:$O$129))),O35))</f>
        <v/>
      </c>
      <c r="Q35" s="12" t="str">
        <f t="shared" si="28"/>
        <v/>
      </c>
      <c r="R35" s="12" t="str">
        <f t="shared" si="29"/>
        <v/>
      </c>
      <c r="S35" s="12" t="str">
        <f t="shared" si="30"/>
        <v/>
      </c>
      <c r="T35" s="14">
        <v>135.91</v>
      </c>
      <c r="U35" s="12" t="str">
        <f t="shared" si="31"/>
        <v/>
      </c>
      <c r="V35" s="12" t="str">
        <f t="shared" si="32"/>
        <v/>
      </c>
      <c r="W35" s="12">
        <f t="shared" si="33"/>
        <v>135.91</v>
      </c>
      <c r="X35" s="12">
        <f t="array" ref="X35">IF(OR(J35=2019,K35&lt;&gt;"include"),"",IFERROR(MAX(_xlfn.MODE.MULT(IF(($A$4:$A$129=A35)*($B$4:$B$129=B35)*($C$4:$C$129=C35)*($E$4:$E$129=E35),$U$4:$U$129))),U35))</f>
        <v>144.63999999999999</v>
      </c>
      <c r="Y35" s="12">
        <f t="shared" si="34"/>
        <v>144.63999999999999</v>
      </c>
      <c r="Z35" s="12">
        <f t="shared" si="35"/>
        <v>144.63999999999999</v>
      </c>
      <c r="AA35" s="12" t="str">
        <f t="shared" si="36"/>
        <v/>
      </c>
      <c r="AB35" s="12" t="str">
        <f t="shared" si="37"/>
        <v/>
      </c>
      <c r="AC35" s="12">
        <f t="shared" si="38"/>
        <v>2458.88</v>
      </c>
    </row>
    <row r="37" spans="1:29" ht="13.5" x14ac:dyDescent="0.25">
      <c r="F37" s="9"/>
      <c r="L37" s="11"/>
      <c r="M37" s="12"/>
      <c r="N37" s="12"/>
      <c r="O37" s="13"/>
      <c r="P37" s="12"/>
      <c r="Q37" s="12"/>
      <c r="R37" s="12"/>
      <c r="S37" s="12"/>
      <c r="T37" s="14"/>
      <c r="U37" s="12"/>
      <c r="V37" s="12"/>
      <c r="W37" s="12"/>
      <c r="X37" s="2" t="s">
        <v>32</v>
      </c>
      <c r="Y37" s="12"/>
      <c r="Z37" s="12" t="s">
        <v>70</v>
      </c>
      <c r="AA37" s="12"/>
      <c r="AB37" s="12"/>
      <c r="AC37" s="12"/>
    </row>
    <row r="38" spans="1:29" x14ac:dyDescent="0.2">
      <c r="A38" s="3" t="s">
        <v>53</v>
      </c>
      <c r="B38" s="3" t="s">
        <v>54</v>
      </c>
      <c r="C38" s="3" t="s">
        <v>55</v>
      </c>
      <c r="D38" s="3" t="s">
        <v>35</v>
      </c>
      <c r="E38" s="3" t="s">
        <v>38</v>
      </c>
      <c r="F38" s="9">
        <v>43525</v>
      </c>
      <c r="G38" s="3">
        <v>1</v>
      </c>
      <c r="H38" s="3">
        <v>1492.92</v>
      </c>
      <c r="I38" s="3">
        <v>18</v>
      </c>
      <c r="J38" s="10">
        <f t="shared" ref="J38:J49" si="51">YEAR(F38)</f>
        <v>2019</v>
      </c>
      <c r="K38" s="3" t="str" cm="1">
        <f t="array" ref="K38">IF(I38="","no unit",IF(I38=0,"0 unit",IF(H38/I38=1,"$1 rate",IF(AND(MAX(IF(($A$4:$A$129=A38)*($B$4:$B$129=B38)*($C$4:$C$129=C38)*($E$4:$E$129=E38),$I$4:$I$129))=1,COUNTIFS($A$4:$A$129,A38,$B$4:$B$129,B38,$C$4:$C$129,C38,$E$4:$E$129,E38,$J$4:$J$129,2019,$H$4:$H$129,MODE(IF(($A$4:$A$129=A38)*($B$4:$B$129=B38)*($C$4:$C$129=C38)*($E$4:$E$129=E38)*($J$4:$J$129=2019),$H$4:$H$129)))&lt;2),"1 unit","include"))))</f>
        <v>include</v>
      </c>
      <c r="L38" s="11">
        <v>8.2000000000000003E-2</v>
      </c>
      <c r="M38" s="12">
        <v>1.56</v>
      </c>
      <c r="N38" s="12">
        <v>80.39</v>
      </c>
      <c r="O38" s="13">
        <f t="shared" ref="O38:O49" si="52">IF(AND(J38=2019,K38="include"),IFERROR(ROUND(H38/I38,2),""),"")</f>
        <v>82.94</v>
      </c>
      <c r="P38" s="12">
        <f t="array" ref="P38">IF(OR(J38=2020,K38&lt;&gt;"include"),"",IFERROR(MAX(_xlfn.MODE.MULT(IF(($A$4:$A$129=A38)*($B$4:$B$129=B38)*($C$4:$C$129=C38)*($J$4:$J$129=J38)*($E$4:$E$129=E38),$O$4:$O$129))),O38))</f>
        <v>84.5</v>
      </c>
      <c r="Q38" s="12">
        <f t="shared" ref="Q38:Q49" si="53">IF(OR(J38=2020,K38&lt;&gt;"include"),"",IF(AND(O38&lt;=P38,O38&gt;=P38*0.2),P38,O38))</f>
        <v>84.5</v>
      </c>
      <c r="R38" s="12">
        <f t="shared" ref="R38:R49" si="54">IF(OR(J38=2020,K38&lt;&gt;"include"),"",IF(Q38&gt;=ROUND(MAX(0,N38)/(1+L38),2),MAX(ROUND(MAX(0,N38)/(1+L38),2),Q38-MAX(0,M38)),Q38))</f>
        <v>82.94</v>
      </c>
      <c r="S38" s="12">
        <f t="shared" ref="S38:S49" si="55">IFERROR(IF(OR(J38=2020,K38&lt;&gt;"include"),"",IF(Q38&lt;P38*0.2,ROUND(Q38*(1+L38),2),IF(R38&lt;MAX(0,N38)*0.8,ROUND(R38*(1+L38),2),ROUND(R38*(1+L38),2)+MAX(0,M38)))),"")</f>
        <v>91.3</v>
      </c>
      <c r="T38" s="14"/>
      <c r="U38" s="12">
        <f t="shared" ref="U38:U49" si="56">IFERROR(IF(AND(J38=2019,T38=""),S38,IF(J38=2020,"",IF(AND(S38/T38&gt;0.2,S38/T38&lt;=1),T38,S38))),"")</f>
        <v>91.3</v>
      </c>
      <c r="V38" s="12">
        <f t="shared" ref="V38:V49" si="57">IF(OR(J38=2020,K38&lt;&gt;"include"),"",IF(Q38&lt;P38*0.2,U38,IF(R38&lt;MAX(0,N38)*0.8,U38,U38-MAX(0,M38))))</f>
        <v>89.74</v>
      </c>
      <c r="W38" s="12" t="str">
        <f t="shared" ref="W38:W49" si="58">IF(AND(J38=2020,K38="include"),IFERROR(ROUND(H38/I38,2),""),"")</f>
        <v/>
      </c>
      <c r="X38" s="12" t="str">
        <f t="array" ref="X38">IF(OR(J38=2019,K38&lt;&gt;"include"),"",IFERROR(MAX(_xlfn.MODE.MULT(IF(($A$4:$A$129=A38)*($B$4:$B$129=B38)*($C$4:$C$129=C38)*($E$4:$E$129=E38),$U$4:$U$129))),U38))</f>
        <v/>
      </c>
      <c r="Y38" s="12" t="str">
        <f t="shared" ref="Y38:Y49" si="59">IF(OR(J38=2019,K38&lt;&gt;"include"),"",IFERROR(IF(AND(W38/X38&gt;0.2,W38/X38&lt;=1),X38,W38),W38))</f>
        <v/>
      </c>
      <c r="Z38" s="12" t="str">
        <f t="shared" ref="Z38:Z49" si="60">IF(OR(J38=2019,K38&lt;&gt;"include"),"",IFERROR(IF(W38&lt;X38*0.2,W38,IF(Y38&lt;MAX(0,N38)*0.8,Y38,Y38-MAX(0,M38))),Y38-MAX(0,M38)))</f>
        <v/>
      </c>
      <c r="AA38" s="12" t="str">
        <f t="shared" ref="AA38:AA49" si="61">IF(OR(J38=2020,K38="include"),"",ROUND(H38*(1+L38),2))</f>
        <v/>
      </c>
      <c r="AB38" s="12" t="str">
        <f t="shared" ref="AB38:AB49" si="62">IF(OR(J38=2019,K38="include"),"",H38)</f>
        <v/>
      </c>
      <c r="AC38" s="12">
        <f t="shared" ref="AC38:AC49" si="63">IF(AND(J38=2019,K38="include"),ROUND(I38*V38,2),IF(AND(J38=2020,K38="include"),ROUND(I38*Z38,2),IF(AND(J38=2019,K38&lt;&gt;"include"),AA38,AB38)))</f>
        <v>1615.32</v>
      </c>
    </row>
    <row r="39" spans="1:29" x14ac:dyDescent="0.2">
      <c r="A39" s="3" t="s">
        <v>53</v>
      </c>
      <c r="B39" s="3" t="s">
        <v>54</v>
      </c>
      <c r="C39" s="3" t="s">
        <v>55</v>
      </c>
      <c r="D39" s="3" t="s">
        <v>35</v>
      </c>
      <c r="E39" s="3" t="s">
        <v>38</v>
      </c>
      <c r="F39" s="9">
        <v>43556</v>
      </c>
      <c r="G39" s="3">
        <v>1</v>
      </c>
      <c r="H39" s="3">
        <v>1824.68</v>
      </c>
      <c r="I39" s="3">
        <v>22</v>
      </c>
      <c r="J39" s="10">
        <f t="shared" si="51"/>
        <v>2019</v>
      </c>
      <c r="K39" s="3" t="str" cm="1">
        <f t="array" ref="K39">IF(I39="","no unit",IF(I39=0,"0 unit",IF(H39/I39=1,"$1 rate",IF(AND(MAX(IF(($A$4:$A$129=A39)*($B$4:$B$129=B39)*($C$4:$C$129=C39)*($E$4:$E$129=E39),$I$4:$I$129))=1,COUNTIFS($A$4:$A$129,A39,$B$4:$B$129,B39,$C$4:$C$129,C39,$E$4:$E$129,E39,$J$4:$J$129,2019,$H$4:$H$129,MODE(IF(($A$4:$A$129=A39)*($B$4:$B$129=B39)*($C$4:$C$129=C39)*($E$4:$E$129=E39)*($J$4:$J$129=2019),$H$4:$H$129)))&lt;2),"1 unit","include"))))</f>
        <v>include</v>
      </c>
      <c r="L39" s="11">
        <v>8.2000000000000003E-2</v>
      </c>
      <c r="M39" s="12">
        <v>1.56</v>
      </c>
      <c r="N39" s="12">
        <v>80.39</v>
      </c>
      <c r="O39" s="13">
        <f t="shared" si="52"/>
        <v>82.94</v>
      </c>
      <c r="P39" s="12">
        <f t="array" ref="P39">IF(OR(J39=2020,K39&lt;&gt;"include"),"",IFERROR(MAX(_xlfn.MODE.MULT(IF(($A$4:$A$129=A39)*($B$4:$B$129=B39)*($C$4:$C$129=C39)*($J$4:$J$129=J39)*($E$4:$E$129=E39),$O$4:$O$129))),O39))</f>
        <v>84.5</v>
      </c>
      <c r="Q39" s="12">
        <f t="shared" si="53"/>
        <v>84.5</v>
      </c>
      <c r="R39" s="12">
        <f t="shared" si="54"/>
        <v>82.94</v>
      </c>
      <c r="S39" s="12">
        <f t="shared" si="55"/>
        <v>91.3</v>
      </c>
      <c r="T39" s="14"/>
      <c r="U39" s="12">
        <f t="shared" si="56"/>
        <v>91.3</v>
      </c>
      <c r="V39" s="12">
        <f t="shared" si="57"/>
        <v>89.74</v>
      </c>
      <c r="W39" s="12" t="str">
        <f t="shared" si="58"/>
        <v/>
      </c>
      <c r="X39" s="12" t="str">
        <f t="array" ref="X39">IF(OR(J39=2019,K39&lt;&gt;"include"),"",IFERROR(MAX(_xlfn.MODE.MULT(IF(($A$4:$A$129=A39)*($B$4:$B$129=B39)*($C$4:$C$129=C39)*($E$4:$E$129=E39),$U$4:$U$129))),U39))</f>
        <v/>
      </c>
      <c r="Y39" s="12" t="str">
        <f t="shared" si="59"/>
        <v/>
      </c>
      <c r="Z39" s="12" t="str">
        <f t="shared" si="60"/>
        <v/>
      </c>
      <c r="AA39" s="12" t="str">
        <f t="shared" si="61"/>
        <v/>
      </c>
      <c r="AB39" s="12" t="str">
        <f t="shared" si="62"/>
        <v/>
      </c>
      <c r="AC39" s="12">
        <f t="shared" si="63"/>
        <v>1974.28</v>
      </c>
    </row>
    <row r="40" spans="1:29" x14ac:dyDescent="0.2">
      <c r="A40" s="3" t="s">
        <v>53</v>
      </c>
      <c r="B40" s="3" t="s">
        <v>54</v>
      </c>
      <c r="C40" s="3" t="s">
        <v>55</v>
      </c>
      <c r="D40" s="3" t="s">
        <v>35</v>
      </c>
      <c r="E40" s="3" t="s">
        <v>38</v>
      </c>
      <c r="F40" s="9">
        <v>43586</v>
      </c>
      <c r="G40" s="3">
        <v>1</v>
      </c>
      <c r="H40" s="3">
        <v>1774.5</v>
      </c>
      <c r="I40" s="3">
        <v>21</v>
      </c>
      <c r="J40" s="10">
        <f t="shared" si="51"/>
        <v>2019</v>
      </c>
      <c r="K40" s="3" t="str" cm="1">
        <f t="array" ref="K40">IF(I40="","no unit",IF(I40=0,"0 unit",IF(H40/I40=1,"$1 rate",IF(AND(MAX(IF(($A$4:$A$129=A40)*($B$4:$B$129=B40)*($C$4:$C$129=C40)*($E$4:$E$129=E40),$I$4:$I$129))=1,COUNTIFS($A$4:$A$129,A40,$B$4:$B$129,B40,$C$4:$C$129,C40,$E$4:$E$129,E40,$J$4:$J$129,2019,$H$4:$H$129,MODE(IF(($A$4:$A$129=A40)*($B$4:$B$129=B40)*($C$4:$C$129=C40)*($E$4:$E$129=E40)*($J$4:$J$129=2019),$H$4:$H$129)))&lt;2),"1 unit","include"))))</f>
        <v>include</v>
      </c>
      <c r="L40" s="11">
        <v>8.2000000000000003E-2</v>
      </c>
      <c r="M40" s="12">
        <v>1.56</v>
      </c>
      <c r="N40" s="12">
        <v>80.39</v>
      </c>
      <c r="O40" s="13">
        <f t="shared" si="52"/>
        <v>84.5</v>
      </c>
      <c r="P40" s="12">
        <f t="array" ref="P40">IF(OR(J40=2020,K40&lt;&gt;"include"),"",IFERROR(MAX(_xlfn.MODE.MULT(IF(($A$4:$A$129=A40)*($B$4:$B$129=B40)*($C$4:$C$129=C40)*($J$4:$J$129=J40)*($E$4:$E$129=E40),$O$4:$O$129))),O40))</f>
        <v>84.5</v>
      </c>
      <c r="Q40" s="12">
        <f t="shared" si="53"/>
        <v>84.5</v>
      </c>
      <c r="R40" s="12">
        <f t="shared" si="54"/>
        <v>82.94</v>
      </c>
      <c r="S40" s="12">
        <f t="shared" si="55"/>
        <v>91.3</v>
      </c>
      <c r="T40" s="14"/>
      <c r="U40" s="12">
        <f t="shared" si="56"/>
        <v>91.3</v>
      </c>
      <c r="V40" s="12">
        <f t="shared" si="57"/>
        <v>89.74</v>
      </c>
      <c r="W40" s="12" t="str">
        <f t="shared" si="58"/>
        <v/>
      </c>
      <c r="X40" s="12" t="str">
        <f t="array" ref="X40">IF(OR(J40=2019,K40&lt;&gt;"include"),"",IFERROR(MAX(_xlfn.MODE.MULT(IF(($A$4:$A$129=A40)*($B$4:$B$129=B40)*($C$4:$C$129=C40)*($E$4:$E$129=E40),$U$4:$U$129))),U40))</f>
        <v/>
      </c>
      <c r="Y40" s="12" t="str">
        <f t="shared" si="59"/>
        <v/>
      </c>
      <c r="Z40" s="12" t="str">
        <f t="shared" si="60"/>
        <v/>
      </c>
      <c r="AA40" s="12" t="str">
        <f t="shared" si="61"/>
        <v/>
      </c>
      <c r="AB40" s="12" t="str">
        <f t="shared" si="62"/>
        <v/>
      </c>
      <c r="AC40" s="12">
        <f t="shared" si="63"/>
        <v>1884.54</v>
      </c>
    </row>
    <row r="41" spans="1:29" x14ac:dyDescent="0.2">
      <c r="A41" s="3" t="s">
        <v>53</v>
      </c>
      <c r="B41" s="3" t="s">
        <v>54</v>
      </c>
      <c r="C41" s="3" t="s">
        <v>55</v>
      </c>
      <c r="D41" s="3" t="s">
        <v>35</v>
      </c>
      <c r="E41" s="3" t="s">
        <v>38</v>
      </c>
      <c r="F41" s="9">
        <v>43617</v>
      </c>
      <c r="G41" s="3">
        <v>1</v>
      </c>
      <c r="H41" s="3">
        <v>1690</v>
      </c>
      <c r="I41" s="3">
        <v>20</v>
      </c>
      <c r="J41" s="10">
        <f t="shared" si="51"/>
        <v>2019</v>
      </c>
      <c r="K41" s="3" t="str" cm="1">
        <f t="array" ref="K41">IF(I41="","no unit",IF(I41=0,"0 unit",IF(H41/I41=1,"$1 rate",IF(AND(MAX(IF(($A$4:$A$129=A41)*($B$4:$B$129=B41)*($C$4:$C$129=C41)*($E$4:$E$129=E41),$I$4:$I$129))=1,COUNTIFS($A$4:$A$129,A41,$B$4:$B$129,B41,$C$4:$C$129,C41,$E$4:$E$129,E41,$J$4:$J$129,2019,$H$4:$H$129,MODE(IF(($A$4:$A$129=A41)*($B$4:$B$129=B41)*($C$4:$C$129=C41)*($E$4:$E$129=E41)*($J$4:$J$129=2019),$H$4:$H$129)))&lt;2),"1 unit","include"))))</f>
        <v>include</v>
      </c>
      <c r="L41" s="11">
        <v>8.2000000000000003E-2</v>
      </c>
      <c r="M41" s="12">
        <v>1.56</v>
      </c>
      <c r="N41" s="12">
        <v>80.39</v>
      </c>
      <c r="O41" s="13">
        <f t="shared" si="52"/>
        <v>84.5</v>
      </c>
      <c r="P41" s="12">
        <f t="array" ref="P41">IF(OR(J41=2020,K41&lt;&gt;"include"),"",IFERROR(MAX(_xlfn.MODE.MULT(IF(($A$4:$A$129=A41)*($B$4:$B$129=B41)*($C$4:$C$129=C41)*($J$4:$J$129=J41)*($E$4:$E$129=E41),$O$4:$O$129))),O41))</f>
        <v>84.5</v>
      </c>
      <c r="Q41" s="12">
        <f t="shared" si="53"/>
        <v>84.5</v>
      </c>
      <c r="R41" s="12">
        <f t="shared" si="54"/>
        <v>82.94</v>
      </c>
      <c r="S41" s="12">
        <f t="shared" si="55"/>
        <v>91.3</v>
      </c>
      <c r="T41" s="14"/>
      <c r="U41" s="12">
        <f t="shared" si="56"/>
        <v>91.3</v>
      </c>
      <c r="V41" s="12">
        <f t="shared" si="57"/>
        <v>89.74</v>
      </c>
      <c r="W41" s="12" t="str">
        <f t="shared" si="58"/>
        <v/>
      </c>
      <c r="X41" s="12" t="str">
        <f t="array" ref="X41">IF(OR(J41=2019,K41&lt;&gt;"include"),"",IFERROR(MAX(_xlfn.MODE.MULT(IF(($A$4:$A$129=A41)*($B$4:$B$129=B41)*($C$4:$C$129=C41)*($E$4:$E$129=E41),$U$4:$U$129))),U41))</f>
        <v/>
      </c>
      <c r="Y41" s="12" t="str">
        <f t="shared" si="59"/>
        <v/>
      </c>
      <c r="Z41" s="12" t="str">
        <f t="shared" si="60"/>
        <v/>
      </c>
      <c r="AA41" s="12" t="str">
        <f t="shared" si="61"/>
        <v/>
      </c>
      <c r="AB41" s="12" t="str">
        <f t="shared" si="62"/>
        <v/>
      </c>
      <c r="AC41" s="12">
        <f t="shared" si="63"/>
        <v>1794.8</v>
      </c>
    </row>
    <row r="42" spans="1:29" x14ac:dyDescent="0.2">
      <c r="A42" s="3" t="s">
        <v>53</v>
      </c>
      <c r="B42" s="3" t="s">
        <v>54</v>
      </c>
      <c r="C42" s="3" t="s">
        <v>55</v>
      </c>
      <c r="D42" s="3" t="s">
        <v>35</v>
      </c>
      <c r="E42" s="3" t="s">
        <v>38</v>
      </c>
      <c r="F42" s="9">
        <v>43647</v>
      </c>
      <c r="G42" s="3">
        <v>1</v>
      </c>
      <c r="H42" s="3">
        <v>1859</v>
      </c>
      <c r="I42" s="3">
        <v>22</v>
      </c>
      <c r="J42" s="10">
        <f t="shared" si="51"/>
        <v>2019</v>
      </c>
      <c r="K42" s="3" t="str" cm="1">
        <f t="array" ref="K42">IF(I42="","no unit",IF(I42=0,"0 unit",IF(H42/I42=1,"$1 rate",IF(AND(MAX(IF(($A$4:$A$129=A42)*($B$4:$B$129=B42)*($C$4:$C$129=C42)*($E$4:$E$129=E42),$I$4:$I$129))=1,COUNTIFS($A$4:$A$129,A42,$B$4:$B$129,B42,$C$4:$C$129,C42,$E$4:$E$129,E42,$J$4:$J$129,2019,$H$4:$H$129,MODE(IF(($A$4:$A$129=A42)*($B$4:$B$129=B42)*($C$4:$C$129=C42)*($E$4:$E$129=E42)*($J$4:$J$129=2019),$H$4:$H$129)))&lt;2),"1 unit","include"))))</f>
        <v>include</v>
      </c>
      <c r="L42" s="11">
        <v>8.2000000000000003E-2</v>
      </c>
      <c r="M42" s="12">
        <v>1.56</v>
      </c>
      <c r="N42" s="12">
        <v>80.39</v>
      </c>
      <c r="O42" s="13">
        <f t="shared" si="52"/>
        <v>84.5</v>
      </c>
      <c r="P42" s="12">
        <f t="array" ref="P42">IF(OR(J42=2020,K42&lt;&gt;"include"),"",IFERROR(MAX(_xlfn.MODE.MULT(IF(($A$4:$A$129=A42)*($B$4:$B$129=B42)*($C$4:$C$129=C42)*($J$4:$J$129=J42)*($E$4:$E$129=E42),$O$4:$O$129))),O42))</f>
        <v>84.5</v>
      </c>
      <c r="Q42" s="12">
        <f t="shared" si="53"/>
        <v>84.5</v>
      </c>
      <c r="R42" s="12">
        <f t="shared" si="54"/>
        <v>82.94</v>
      </c>
      <c r="S42" s="12">
        <f t="shared" si="55"/>
        <v>91.3</v>
      </c>
      <c r="T42" s="14"/>
      <c r="U42" s="12">
        <f t="shared" si="56"/>
        <v>91.3</v>
      </c>
      <c r="V42" s="12">
        <f t="shared" si="57"/>
        <v>89.74</v>
      </c>
      <c r="W42" s="12" t="str">
        <f t="shared" si="58"/>
        <v/>
      </c>
      <c r="X42" s="12" t="str">
        <f t="array" ref="X42">IF(OR(J42=2019,K42&lt;&gt;"include"),"",IFERROR(MAX(_xlfn.MODE.MULT(IF(($A$4:$A$129=A42)*($B$4:$B$129=B42)*($C$4:$C$129=C42)*($E$4:$E$129=E42),$U$4:$U$129))),U42))</f>
        <v/>
      </c>
      <c r="Y42" s="12" t="str">
        <f t="shared" si="59"/>
        <v/>
      </c>
      <c r="Z42" s="12" t="str">
        <f t="shared" si="60"/>
        <v/>
      </c>
      <c r="AA42" s="12" t="str">
        <f t="shared" si="61"/>
        <v/>
      </c>
      <c r="AB42" s="12" t="str">
        <f t="shared" si="62"/>
        <v/>
      </c>
      <c r="AC42" s="12">
        <f t="shared" si="63"/>
        <v>1974.28</v>
      </c>
    </row>
    <row r="43" spans="1:29" x14ac:dyDescent="0.2">
      <c r="A43" s="3" t="s">
        <v>53</v>
      </c>
      <c r="B43" s="3" t="s">
        <v>54</v>
      </c>
      <c r="C43" s="3" t="s">
        <v>55</v>
      </c>
      <c r="D43" s="3" t="s">
        <v>35</v>
      </c>
      <c r="E43" s="3" t="s">
        <v>38</v>
      </c>
      <c r="F43" s="9">
        <v>43678</v>
      </c>
      <c r="G43" s="3">
        <v>1</v>
      </c>
      <c r="H43" s="3">
        <v>1859</v>
      </c>
      <c r="I43" s="3">
        <v>22</v>
      </c>
      <c r="J43" s="10">
        <f t="shared" si="51"/>
        <v>2019</v>
      </c>
      <c r="K43" s="3" t="str" cm="1">
        <f t="array" ref="K43">IF(I43="","no unit",IF(I43=0,"0 unit",IF(H43/I43=1,"$1 rate",IF(AND(MAX(IF(($A$4:$A$129=A43)*($B$4:$B$129=B43)*($C$4:$C$129=C43)*($E$4:$E$129=E43),$I$4:$I$129))=1,COUNTIFS($A$4:$A$129,A43,$B$4:$B$129,B43,$C$4:$C$129,C43,$E$4:$E$129,E43,$J$4:$J$129,2019,$H$4:$H$129,MODE(IF(($A$4:$A$129=A43)*($B$4:$B$129=B43)*($C$4:$C$129=C43)*($E$4:$E$129=E43)*($J$4:$J$129=2019),$H$4:$H$129)))&lt;2),"1 unit","include"))))</f>
        <v>include</v>
      </c>
      <c r="L43" s="11">
        <v>8.2000000000000003E-2</v>
      </c>
      <c r="M43" s="12">
        <v>1.56</v>
      </c>
      <c r="N43" s="12">
        <v>80.39</v>
      </c>
      <c r="O43" s="13">
        <f t="shared" si="52"/>
        <v>84.5</v>
      </c>
      <c r="P43" s="12">
        <f t="array" ref="P43">IF(OR(J43=2020,K43&lt;&gt;"include"),"",IFERROR(MAX(_xlfn.MODE.MULT(IF(($A$4:$A$129=A43)*($B$4:$B$129=B43)*($C$4:$C$129=C43)*($J$4:$J$129=J43)*($E$4:$E$129=E43),$O$4:$O$129))),O43))</f>
        <v>84.5</v>
      </c>
      <c r="Q43" s="12">
        <f t="shared" si="53"/>
        <v>84.5</v>
      </c>
      <c r="R43" s="12">
        <f t="shared" si="54"/>
        <v>82.94</v>
      </c>
      <c r="S43" s="12">
        <f t="shared" si="55"/>
        <v>91.3</v>
      </c>
      <c r="T43" s="14"/>
      <c r="U43" s="12">
        <f t="shared" si="56"/>
        <v>91.3</v>
      </c>
      <c r="V43" s="12">
        <f t="shared" si="57"/>
        <v>89.74</v>
      </c>
      <c r="W43" s="12" t="str">
        <f t="shared" si="58"/>
        <v/>
      </c>
      <c r="X43" s="12" t="str">
        <f t="array" ref="X43">IF(OR(J43=2019,K43&lt;&gt;"include"),"",IFERROR(MAX(_xlfn.MODE.MULT(IF(($A$4:$A$129=A43)*($B$4:$B$129=B43)*($C$4:$C$129=C43)*($E$4:$E$129=E43),$U$4:$U$129))),U43))</f>
        <v/>
      </c>
      <c r="Y43" s="12" t="str">
        <f t="shared" si="59"/>
        <v/>
      </c>
      <c r="Z43" s="12" t="str">
        <f t="shared" si="60"/>
        <v/>
      </c>
      <c r="AA43" s="12" t="str">
        <f t="shared" si="61"/>
        <v/>
      </c>
      <c r="AB43" s="12" t="str">
        <f t="shared" si="62"/>
        <v/>
      </c>
      <c r="AC43" s="12">
        <f t="shared" si="63"/>
        <v>1974.28</v>
      </c>
    </row>
    <row r="44" spans="1:29" x14ac:dyDescent="0.2">
      <c r="A44" s="3" t="s">
        <v>53</v>
      </c>
      <c r="B44" s="3" t="s">
        <v>54</v>
      </c>
      <c r="C44" s="3" t="s">
        <v>55</v>
      </c>
      <c r="D44" s="3" t="s">
        <v>35</v>
      </c>
      <c r="E44" s="3" t="s">
        <v>38</v>
      </c>
      <c r="F44" s="9">
        <v>43709</v>
      </c>
      <c r="G44" s="3">
        <v>1</v>
      </c>
      <c r="H44" s="3">
        <v>1605.5</v>
      </c>
      <c r="I44" s="3">
        <v>19</v>
      </c>
      <c r="J44" s="10">
        <f t="shared" si="51"/>
        <v>2019</v>
      </c>
      <c r="K44" s="3" t="str" cm="1">
        <f t="array" ref="K44">IF(I44="","no unit",IF(I44=0,"0 unit",IF(H44/I44=1,"$1 rate",IF(AND(MAX(IF(($A$4:$A$129=A44)*($B$4:$B$129=B44)*($C$4:$C$129=C44)*($E$4:$E$129=E44),$I$4:$I$129))=1,COUNTIFS($A$4:$A$129,A44,$B$4:$B$129,B44,$C$4:$C$129,C44,$E$4:$E$129,E44,$J$4:$J$129,2019,$H$4:$H$129,MODE(IF(($A$4:$A$129=A44)*($B$4:$B$129=B44)*($C$4:$C$129=C44)*($E$4:$E$129=E44)*($J$4:$J$129=2019),$H$4:$H$129)))&lt;2),"1 unit","include"))))</f>
        <v>include</v>
      </c>
      <c r="L44" s="11">
        <v>8.2000000000000003E-2</v>
      </c>
      <c r="M44" s="12">
        <v>1.56</v>
      </c>
      <c r="N44" s="12">
        <v>80.39</v>
      </c>
      <c r="O44" s="13">
        <f t="shared" si="52"/>
        <v>84.5</v>
      </c>
      <c r="P44" s="12">
        <f t="array" ref="P44">IF(OR(J44=2020,K44&lt;&gt;"include"),"",IFERROR(MAX(_xlfn.MODE.MULT(IF(($A$4:$A$129=A44)*($B$4:$B$129=B44)*($C$4:$C$129=C44)*($J$4:$J$129=J44)*($E$4:$E$129=E44),$O$4:$O$129))),O44))</f>
        <v>84.5</v>
      </c>
      <c r="Q44" s="12">
        <f t="shared" si="53"/>
        <v>84.5</v>
      </c>
      <c r="R44" s="12">
        <f t="shared" si="54"/>
        <v>82.94</v>
      </c>
      <c r="S44" s="12">
        <f t="shared" si="55"/>
        <v>91.3</v>
      </c>
      <c r="T44" s="14"/>
      <c r="U44" s="12">
        <f t="shared" si="56"/>
        <v>91.3</v>
      </c>
      <c r="V44" s="12">
        <f t="shared" si="57"/>
        <v>89.74</v>
      </c>
      <c r="W44" s="12" t="str">
        <f t="shared" si="58"/>
        <v/>
      </c>
      <c r="X44" s="12" t="str">
        <f t="array" ref="X44">IF(OR(J44=2019,K44&lt;&gt;"include"),"",IFERROR(MAX(_xlfn.MODE.MULT(IF(($A$4:$A$129=A44)*($B$4:$B$129=B44)*($C$4:$C$129=C44)*($E$4:$E$129=E44),$U$4:$U$129))),U44))</f>
        <v/>
      </c>
      <c r="Y44" s="12" t="str">
        <f t="shared" si="59"/>
        <v/>
      </c>
      <c r="Z44" s="12" t="str">
        <f t="shared" si="60"/>
        <v/>
      </c>
      <c r="AA44" s="12" t="str">
        <f t="shared" si="61"/>
        <v/>
      </c>
      <c r="AB44" s="12" t="str">
        <f t="shared" si="62"/>
        <v/>
      </c>
      <c r="AC44" s="12">
        <f t="shared" si="63"/>
        <v>1705.06</v>
      </c>
    </row>
    <row r="45" spans="1:29" x14ac:dyDescent="0.2">
      <c r="A45" s="3" t="s">
        <v>53</v>
      </c>
      <c r="B45" s="3" t="s">
        <v>54</v>
      </c>
      <c r="C45" s="3" t="s">
        <v>55</v>
      </c>
      <c r="D45" s="3" t="s">
        <v>35</v>
      </c>
      <c r="E45" s="3" t="s">
        <v>38</v>
      </c>
      <c r="F45" s="9">
        <v>43739</v>
      </c>
      <c r="G45" s="3">
        <v>1</v>
      </c>
      <c r="H45" s="3">
        <v>1774.5</v>
      </c>
      <c r="I45" s="3">
        <v>21</v>
      </c>
      <c r="J45" s="10">
        <f t="shared" si="51"/>
        <v>2019</v>
      </c>
      <c r="K45" s="3" t="str" cm="1">
        <f t="array" ref="K45">IF(I45="","no unit",IF(I45=0,"0 unit",IF(H45/I45=1,"$1 rate",IF(AND(MAX(IF(($A$4:$A$129=A45)*($B$4:$B$129=B45)*($C$4:$C$129=C45)*($E$4:$E$129=E45),$I$4:$I$129))=1,COUNTIFS($A$4:$A$129,A45,$B$4:$B$129,B45,$C$4:$C$129,C45,$E$4:$E$129,E45,$J$4:$J$129,2019,$H$4:$H$129,MODE(IF(($A$4:$A$129=A45)*($B$4:$B$129=B45)*($C$4:$C$129=C45)*($E$4:$E$129=E45)*($J$4:$J$129=2019),$H$4:$H$129)))&lt;2),"1 unit","include"))))</f>
        <v>include</v>
      </c>
      <c r="L45" s="11">
        <v>8.2000000000000003E-2</v>
      </c>
      <c r="M45" s="12">
        <v>1.56</v>
      </c>
      <c r="N45" s="12">
        <v>80.39</v>
      </c>
      <c r="O45" s="13">
        <f t="shared" si="52"/>
        <v>84.5</v>
      </c>
      <c r="P45" s="12">
        <f t="array" ref="P45">IF(OR(J45=2020,K45&lt;&gt;"include"),"",IFERROR(MAX(_xlfn.MODE.MULT(IF(($A$4:$A$129=A45)*($B$4:$B$129=B45)*($C$4:$C$129=C45)*($J$4:$J$129=J45)*($E$4:$E$129=E45),$O$4:$O$129))),O45))</f>
        <v>84.5</v>
      </c>
      <c r="Q45" s="12">
        <f t="shared" si="53"/>
        <v>84.5</v>
      </c>
      <c r="R45" s="12">
        <f t="shared" si="54"/>
        <v>82.94</v>
      </c>
      <c r="S45" s="12">
        <f t="shared" si="55"/>
        <v>91.3</v>
      </c>
      <c r="T45" s="14"/>
      <c r="U45" s="12">
        <f t="shared" si="56"/>
        <v>91.3</v>
      </c>
      <c r="V45" s="12">
        <f t="shared" si="57"/>
        <v>89.74</v>
      </c>
      <c r="W45" s="12" t="str">
        <f t="shared" si="58"/>
        <v/>
      </c>
      <c r="X45" s="12" t="str">
        <f t="array" ref="X45">IF(OR(J45=2019,K45&lt;&gt;"include"),"",IFERROR(MAX(_xlfn.MODE.MULT(IF(($A$4:$A$129=A45)*($B$4:$B$129=B45)*($C$4:$C$129=C45)*($E$4:$E$129=E45),$U$4:$U$129))),U45))</f>
        <v/>
      </c>
      <c r="Y45" s="12" t="str">
        <f t="shared" si="59"/>
        <v/>
      </c>
      <c r="Z45" s="12" t="str">
        <f t="shared" si="60"/>
        <v/>
      </c>
      <c r="AA45" s="12" t="str">
        <f t="shared" si="61"/>
        <v/>
      </c>
      <c r="AB45" s="12" t="str">
        <f t="shared" si="62"/>
        <v/>
      </c>
      <c r="AC45" s="12">
        <f t="shared" si="63"/>
        <v>1884.54</v>
      </c>
    </row>
    <row r="46" spans="1:29" x14ac:dyDescent="0.2">
      <c r="A46" s="3" t="s">
        <v>53</v>
      </c>
      <c r="B46" s="3" t="s">
        <v>54</v>
      </c>
      <c r="C46" s="3" t="s">
        <v>55</v>
      </c>
      <c r="D46" s="3" t="s">
        <v>35</v>
      </c>
      <c r="E46" s="3" t="s">
        <v>38</v>
      </c>
      <c r="F46" s="9">
        <v>43770</v>
      </c>
      <c r="G46" s="3">
        <v>1</v>
      </c>
      <c r="H46" s="3">
        <v>1183</v>
      </c>
      <c r="I46" s="3">
        <v>14</v>
      </c>
      <c r="J46" s="10">
        <f t="shared" si="51"/>
        <v>2019</v>
      </c>
      <c r="K46" s="3" t="str" cm="1">
        <f t="array" ref="K46">IF(I46="","no unit",IF(I46=0,"0 unit",IF(H46/I46=1,"$1 rate",IF(AND(MAX(IF(($A$4:$A$129=A46)*($B$4:$B$129=B46)*($C$4:$C$129=C46)*($E$4:$E$129=E46),$I$4:$I$129))=1,COUNTIFS($A$4:$A$129,A46,$B$4:$B$129,B46,$C$4:$C$129,C46,$E$4:$E$129,E46,$J$4:$J$129,2019,$H$4:$H$129,MODE(IF(($A$4:$A$129=A46)*($B$4:$B$129=B46)*($C$4:$C$129=C46)*($E$4:$E$129=E46)*($J$4:$J$129=2019),$H$4:$H$129)))&lt;2),"1 unit","include"))))</f>
        <v>include</v>
      </c>
      <c r="L46" s="11">
        <v>8.2000000000000003E-2</v>
      </c>
      <c r="M46" s="12">
        <v>1.56</v>
      </c>
      <c r="N46" s="12">
        <v>80.39</v>
      </c>
      <c r="O46" s="13">
        <f t="shared" si="52"/>
        <v>84.5</v>
      </c>
      <c r="P46" s="12">
        <f t="array" ref="P46">IF(OR(J46=2020,K46&lt;&gt;"include"),"",IFERROR(MAX(_xlfn.MODE.MULT(IF(($A$4:$A$129=A46)*($B$4:$B$129=B46)*($C$4:$C$129=C46)*($J$4:$J$129=J46)*($E$4:$E$129=E46),$O$4:$O$129))),O46))</f>
        <v>84.5</v>
      </c>
      <c r="Q46" s="12">
        <f t="shared" si="53"/>
        <v>84.5</v>
      </c>
      <c r="R46" s="12">
        <f t="shared" si="54"/>
        <v>82.94</v>
      </c>
      <c r="S46" s="12">
        <f t="shared" si="55"/>
        <v>91.3</v>
      </c>
      <c r="T46" s="14"/>
      <c r="U46" s="12">
        <f t="shared" si="56"/>
        <v>91.3</v>
      </c>
      <c r="V46" s="12">
        <f t="shared" si="57"/>
        <v>89.74</v>
      </c>
      <c r="W46" s="12" t="str">
        <f t="shared" si="58"/>
        <v/>
      </c>
      <c r="X46" s="12" t="str">
        <f t="array" ref="X46">IF(OR(J46=2019,K46&lt;&gt;"include"),"",IFERROR(MAX(_xlfn.MODE.MULT(IF(($A$4:$A$129=A46)*($B$4:$B$129=B46)*($C$4:$C$129=C46)*($E$4:$E$129=E46),$U$4:$U$129))),U46))</f>
        <v/>
      </c>
      <c r="Y46" s="12" t="str">
        <f t="shared" si="59"/>
        <v/>
      </c>
      <c r="Z46" s="12" t="str">
        <f t="shared" si="60"/>
        <v/>
      </c>
      <c r="AA46" s="12" t="str">
        <f t="shared" si="61"/>
        <v/>
      </c>
      <c r="AB46" s="12" t="str">
        <f t="shared" si="62"/>
        <v/>
      </c>
      <c r="AC46" s="12">
        <f t="shared" si="63"/>
        <v>1256.3599999999999</v>
      </c>
    </row>
    <row r="47" spans="1:29" x14ac:dyDescent="0.2">
      <c r="A47" s="3" t="s">
        <v>53</v>
      </c>
      <c r="B47" s="3" t="s">
        <v>54</v>
      </c>
      <c r="C47" s="3" t="s">
        <v>55</v>
      </c>
      <c r="D47" s="3" t="s">
        <v>35</v>
      </c>
      <c r="E47" s="3" t="s">
        <v>38</v>
      </c>
      <c r="F47" s="9">
        <v>43800</v>
      </c>
      <c r="G47" s="3">
        <v>1</v>
      </c>
      <c r="H47" s="3">
        <v>1014</v>
      </c>
      <c r="I47" s="3">
        <v>12</v>
      </c>
      <c r="J47" s="10">
        <f t="shared" si="51"/>
        <v>2019</v>
      </c>
      <c r="K47" s="3" t="str" cm="1">
        <f t="array" ref="K47">IF(I47="","no unit",IF(I47=0,"0 unit",IF(H47/I47=1,"$1 rate",IF(AND(MAX(IF(($A$4:$A$129=A47)*($B$4:$B$129=B47)*($C$4:$C$129=C47)*($E$4:$E$129=E47),$I$4:$I$129))=1,COUNTIFS($A$4:$A$129,A47,$B$4:$B$129,B47,$C$4:$C$129,C47,$E$4:$E$129,E47,$J$4:$J$129,2019,$H$4:$H$129,MODE(IF(($A$4:$A$129=A47)*($B$4:$B$129=B47)*($C$4:$C$129=C47)*($E$4:$E$129=E47)*($J$4:$J$129=2019),$H$4:$H$129)))&lt;2),"1 unit","include"))))</f>
        <v>include</v>
      </c>
      <c r="L47" s="11">
        <v>8.2000000000000003E-2</v>
      </c>
      <c r="M47" s="12">
        <v>1.56</v>
      </c>
      <c r="N47" s="12">
        <v>80.39</v>
      </c>
      <c r="O47" s="13">
        <f t="shared" si="52"/>
        <v>84.5</v>
      </c>
      <c r="P47" s="12">
        <f t="array" ref="P47">IF(OR(J47=2020,K47&lt;&gt;"include"),"",IFERROR(MAX(_xlfn.MODE.MULT(IF(($A$4:$A$129=A47)*($B$4:$B$129=B47)*($C$4:$C$129=C47)*($J$4:$J$129=J47)*($E$4:$E$129=E47),$O$4:$O$129))),O47))</f>
        <v>84.5</v>
      </c>
      <c r="Q47" s="12">
        <f t="shared" si="53"/>
        <v>84.5</v>
      </c>
      <c r="R47" s="12">
        <f t="shared" si="54"/>
        <v>82.94</v>
      </c>
      <c r="S47" s="12">
        <f t="shared" si="55"/>
        <v>91.3</v>
      </c>
      <c r="T47" s="14"/>
      <c r="U47" s="12">
        <f t="shared" si="56"/>
        <v>91.3</v>
      </c>
      <c r="V47" s="12">
        <f t="shared" si="57"/>
        <v>89.74</v>
      </c>
      <c r="W47" s="12" t="str">
        <f t="shared" si="58"/>
        <v/>
      </c>
      <c r="X47" s="12" t="str">
        <f t="array" ref="X47">IF(OR(J47=2019,K47&lt;&gt;"include"),"",IFERROR(MAX(_xlfn.MODE.MULT(IF(($A$4:$A$129=A47)*($B$4:$B$129=B47)*($C$4:$C$129=C47)*($E$4:$E$129=E47),$U$4:$U$129))),U47))</f>
        <v/>
      </c>
      <c r="Y47" s="12" t="str">
        <f t="shared" si="59"/>
        <v/>
      </c>
      <c r="Z47" s="12" t="str">
        <f t="shared" si="60"/>
        <v/>
      </c>
      <c r="AA47" s="12" t="str">
        <f t="shared" si="61"/>
        <v/>
      </c>
      <c r="AB47" s="12" t="str">
        <f t="shared" si="62"/>
        <v/>
      </c>
      <c r="AC47" s="12">
        <f t="shared" si="63"/>
        <v>1076.8800000000001</v>
      </c>
    </row>
    <row r="48" spans="1:29" x14ac:dyDescent="0.2">
      <c r="A48" s="3" t="s">
        <v>53</v>
      </c>
      <c r="B48" s="3" t="s">
        <v>54</v>
      </c>
      <c r="C48" s="3" t="s">
        <v>55</v>
      </c>
      <c r="D48" s="3" t="s">
        <v>35</v>
      </c>
      <c r="E48" s="3" t="s">
        <v>38</v>
      </c>
      <c r="F48" s="9">
        <v>43831</v>
      </c>
      <c r="G48" s="3">
        <v>1</v>
      </c>
      <c r="H48" s="3">
        <v>1196.3900000000001</v>
      </c>
      <c r="I48" s="3">
        <v>13</v>
      </c>
      <c r="J48" s="10">
        <f t="shared" si="51"/>
        <v>2020</v>
      </c>
      <c r="K48" s="3" t="str" cm="1">
        <f t="array" ref="K48">IF(I48="","no unit",IF(I48=0,"0 unit",IF(H48/I48=1,"$1 rate",IF(AND(MAX(IF(($A$4:$A$129=A48)*($B$4:$B$129=B48)*($C$4:$C$129=C48)*($E$4:$E$129=E48),$I$4:$I$129))=1,COUNTIFS($A$4:$A$129,A48,$B$4:$B$129,B48,$C$4:$C$129,C48,$E$4:$E$129,E48,$J$4:$J$129,2019,$H$4:$H$129,MODE(IF(($A$4:$A$129=A48)*($B$4:$B$129=B48)*($C$4:$C$129=C48)*($E$4:$E$129=E48)*($J$4:$J$129=2019),$H$4:$H$129)))&lt;2),"1 unit","include"))))</f>
        <v>include</v>
      </c>
      <c r="L48" s="11">
        <v>8.2000000000000003E-2</v>
      </c>
      <c r="M48" s="12">
        <v>1.56</v>
      </c>
      <c r="N48" s="12">
        <v>80.39</v>
      </c>
      <c r="O48" s="13" t="str">
        <f t="shared" si="52"/>
        <v/>
      </c>
      <c r="P48" s="12" t="str">
        <f t="array" ref="P48">IF(OR(J48=2020,K48&lt;&gt;"include"),"",IFERROR(MAX(_xlfn.MODE.MULT(IF(($A$4:$A$129=A48)*($B$4:$B$129=B48)*($C$4:$C$129=C48)*($J$4:$J$129=J48)*($E$4:$E$129=E48),$O$4:$O$129))),O48))</f>
        <v/>
      </c>
      <c r="Q48" s="12" t="str">
        <f t="shared" si="53"/>
        <v/>
      </c>
      <c r="R48" s="12" t="str">
        <f t="shared" si="54"/>
        <v/>
      </c>
      <c r="S48" s="12" t="str">
        <f t="shared" si="55"/>
        <v/>
      </c>
      <c r="T48" s="14"/>
      <c r="U48" s="12" t="str">
        <f t="shared" si="56"/>
        <v/>
      </c>
      <c r="V48" s="12" t="str">
        <f t="shared" si="57"/>
        <v/>
      </c>
      <c r="W48" s="12">
        <f t="shared" si="58"/>
        <v>92.03</v>
      </c>
      <c r="X48" s="12">
        <f t="array" ref="X48">IF(OR(J48=2019,K48&lt;&gt;"include"),"",IFERROR(MAX(_xlfn.MODE.MULT(IF(($A$4:$A$129=A48)*($B$4:$B$129=B48)*($C$4:$C$129=C48)*($E$4:$E$129=E48),$U$4:$U$129))),U48))</f>
        <v>91.3</v>
      </c>
      <c r="Y48" s="12">
        <f t="shared" si="59"/>
        <v>92.03</v>
      </c>
      <c r="Z48" s="12">
        <f t="shared" si="60"/>
        <v>90.47</v>
      </c>
      <c r="AA48" s="12" t="str">
        <f t="shared" si="61"/>
        <v/>
      </c>
      <c r="AB48" s="12" t="str">
        <f t="shared" si="62"/>
        <v/>
      </c>
      <c r="AC48" s="12">
        <f t="shared" si="63"/>
        <v>1176.1099999999999</v>
      </c>
    </row>
    <row r="49" spans="1:29" x14ac:dyDescent="0.2">
      <c r="A49" s="3" t="s">
        <v>53</v>
      </c>
      <c r="B49" s="3" t="s">
        <v>54</v>
      </c>
      <c r="C49" s="3" t="s">
        <v>55</v>
      </c>
      <c r="D49" s="3" t="s">
        <v>35</v>
      </c>
      <c r="E49" s="3" t="s">
        <v>38</v>
      </c>
      <c r="F49" s="9">
        <v>43862</v>
      </c>
      <c r="G49" s="3">
        <v>1</v>
      </c>
      <c r="H49" s="3">
        <v>1734.7</v>
      </c>
      <c r="I49" s="3">
        <v>19</v>
      </c>
      <c r="J49" s="10">
        <f t="shared" si="51"/>
        <v>2020</v>
      </c>
      <c r="K49" s="3" t="str" cm="1">
        <f t="array" ref="K49">IF(I49="","no unit",IF(I49=0,"0 unit",IF(H49/I49=1,"$1 rate",IF(AND(MAX(IF(($A$4:$A$129=A49)*($B$4:$B$129=B49)*($C$4:$C$129=C49)*($E$4:$E$129=E49),$I$4:$I$129))=1,COUNTIFS($A$4:$A$129,A49,$B$4:$B$129,B49,$C$4:$C$129,C49,$E$4:$E$129,E49,$J$4:$J$129,2019,$H$4:$H$129,MODE(IF(($A$4:$A$129=A49)*($B$4:$B$129=B49)*($C$4:$C$129=C49)*($E$4:$E$129=E49)*($J$4:$J$129=2019),$H$4:$H$129)))&lt;2),"1 unit","include"))))</f>
        <v>include</v>
      </c>
      <c r="L49" s="11">
        <v>8.2000000000000003E-2</v>
      </c>
      <c r="M49" s="12">
        <v>1.56</v>
      </c>
      <c r="N49" s="12">
        <v>80.39</v>
      </c>
      <c r="O49" s="13" t="str">
        <f t="shared" si="52"/>
        <v/>
      </c>
      <c r="P49" s="12" t="str">
        <f t="array" ref="P49">IF(OR(J49=2020,K49&lt;&gt;"include"),"",IFERROR(MAX(_xlfn.MODE.MULT(IF(($A$4:$A$129=A49)*($B$4:$B$129=B49)*($C$4:$C$129=C49)*($J$4:$J$129=J49)*($E$4:$E$129=E49),$O$4:$O$129))),O49))</f>
        <v/>
      </c>
      <c r="Q49" s="12" t="str">
        <f t="shared" si="53"/>
        <v/>
      </c>
      <c r="R49" s="12" t="str">
        <f t="shared" si="54"/>
        <v/>
      </c>
      <c r="S49" s="12" t="str">
        <f t="shared" si="55"/>
        <v/>
      </c>
      <c r="T49" s="14"/>
      <c r="U49" s="12" t="str">
        <f t="shared" si="56"/>
        <v/>
      </c>
      <c r="V49" s="12" t="str">
        <f t="shared" si="57"/>
        <v/>
      </c>
      <c r="W49" s="12">
        <f t="shared" si="58"/>
        <v>91.3</v>
      </c>
      <c r="X49" s="12">
        <f t="array" ref="X49">IF(OR(J49=2019,K49&lt;&gt;"include"),"",IFERROR(MAX(_xlfn.MODE.MULT(IF(($A$4:$A$129=A49)*($B$4:$B$129=B49)*($C$4:$C$129=C49)*($E$4:$E$129=E49),$U$4:$U$129))),U49))</f>
        <v>91.3</v>
      </c>
      <c r="Y49" s="12">
        <f t="shared" si="59"/>
        <v>91.3</v>
      </c>
      <c r="Z49" s="12">
        <f t="shared" si="60"/>
        <v>89.74</v>
      </c>
      <c r="AA49" s="12" t="str">
        <f t="shared" si="61"/>
        <v/>
      </c>
      <c r="AB49" s="12" t="str">
        <f t="shared" si="62"/>
        <v/>
      </c>
      <c r="AC49" s="12">
        <f t="shared" si="63"/>
        <v>1705.06</v>
      </c>
    </row>
    <row r="51" spans="1:29" ht="13.5" x14ac:dyDescent="0.25">
      <c r="A51" s="16" t="s">
        <v>61</v>
      </c>
      <c r="F51" s="9"/>
      <c r="L51" s="11"/>
      <c r="M51" s="12"/>
      <c r="N51" s="12"/>
      <c r="O51" s="13"/>
      <c r="P51" s="2" t="s">
        <v>67</v>
      </c>
      <c r="Q51" s="12"/>
      <c r="R51" s="12"/>
      <c r="S51" s="12"/>
      <c r="T51" s="14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x14ac:dyDescent="0.2">
      <c r="A52" s="3" t="s">
        <v>42</v>
      </c>
      <c r="B52" s="3" t="s">
        <v>44</v>
      </c>
      <c r="C52" s="3" t="s">
        <v>43</v>
      </c>
      <c r="D52" s="3" t="s">
        <v>35</v>
      </c>
      <c r="E52" s="3" t="s">
        <v>45</v>
      </c>
      <c r="F52" s="9">
        <v>43525</v>
      </c>
      <c r="G52" s="3">
        <v>2</v>
      </c>
      <c r="H52" s="3">
        <v>3259.83</v>
      </c>
      <c r="I52" s="3">
        <v>21</v>
      </c>
      <c r="J52" s="10">
        <f t="shared" ref="J52:J62" si="64">YEAR(F52)</f>
        <v>2019</v>
      </c>
      <c r="K52" s="3" t="str" cm="1">
        <f t="array" ref="K52">IF(I52="","no unit",IF(I52=0,"0 unit",IF(H52/I52=1,"$1 rate",IF(AND(MAX(IF(($A$4:$A$129=A52)*($B$4:$B$129=B52)*($C$4:$C$129=C52)*($E$4:$E$129=E52),$I$4:$I$129))=1,COUNTIFS($A$4:$A$129,A52,$B$4:$B$129,B52,$C$4:$C$129,C52,$E$4:$E$129,E52,$J$4:$J$129,2019,$H$4:$H$129,MODE(IF(($A$4:$A$129=A52)*($B$4:$B$129=B52)*($C$4:$C$129=C52)*($E$4:$E$129=E52)*($J$4:$J$129=2019),$H$4:$H$129)))&lt;2),"1 unit","include"))))</f>
        <v>include</v>
      </c>
      <c r="L52" s="11">
        <v>8.2000000000000003E-2</v>
      </c>
      <c r="M52" s="4"/>
      <c r="N52" s="4"/>
      <c r="O52" s="13">
        <f t="shared" ref="O52:O62" si="65">IF(AND(J52=2019,K52="include"),IFERROR(ROUND(H52/I52,2),""),"")</f>
        <v>155.22999999999999</v>
      </c>
      <c r="P52" s="12">
        <f t="array" ref="P52">IF(OR(J52=2020,K52&lt;&gt;"include"),"",IFERROR(MAX(_xlfn.MODE.MULT(IF(($A$4:$A$129=A52)*($B$4:$B$129=B52)*($C$4:$C$129=C52)*($J$4:$J$129=J52)*($E$4:$E$129=E52),$O$4:$O$129))),O52))</f>
        <v>155.22999999999999</v>
      </c>
      <c r="Q52" s="12">
        <f t="shared" ref="Q52:Q62" si="66">IF(OR(J52=2020,K52&lt;&gt;"include"),"",IF(AND(O52&lt;=P52,O52&gt;=P52*0.2),P52,O52))</f>
        <v>155.22999999999999</v>
      </c>
      <c r="R52" s="12">
        <f t="shared" ref="R52:R62" si="67">IF(OR(J52=2020,K52&lt;&gt;"include"),"",IF(Q52&gt;=ROUND(MAX(0,N52)/(1+L52),2),MAX(ROUND(MAX(0,N52)/(1+L52),2),Q52-MAX(0,M52)),Q52))</f>
        <v>155.22999999999999</v>
      </c>
      <c r="S52" s="12">
        <f t="shared" ref="S52:S62" si="68">IFERROR(IF(OR(J52=2020,K52&lt;&gt;"include"),"",IF(Q52&lt;P52*0.2,ROUND(Q52*(1+L52),2),IF(R52&lt;MAX(0,N52)*0.8,ROUND(R52*(1+L52),2),ROUND(R52*(1+L52),2)+MAX(0,M52)))),"")</f>
        <v>167.96</v>
      </c>
      <c r="T52" s="14">
        <v>172.62</v>
      </c>
      <c r="U52" s="12">
        <f t="shared" ref="U52:U62" si="69">IFERROR(IF(AND(J52=2019,T52=""),S52,IF(J52=2020,"",IF(AND(S52/T52&gt;0.2,S52/T52&lt;=1),T52,S52))),"")</f>
        <v>172.62</v>
      </c>
      <c r="V52" s="12">
        <f t="shared" ref="V52:V62" si="70">IF(OR(J52=2020,K52&lt;&gt;"include"),"",IF(Q52&lt;P52*0.2,U52,IF(R52&lt;MAX(0,N52)*0.8,U52,U52-MAX(0,M52))))</f>
        <v>172.62</v>
      </c>
      <c r="W52" s="12" t="str">
        <f t="shared" ref="W52:W62" si="71">IF(AND(J52=2020,K52="include"),IFERROR(ROUND(H52/I52,2),""),"")</f>
        <v/>
      </c>
      <c r="X52" s="12" t="str">
        <f t="array" ref="X52">IF(OR(J52=2019,K52&lt;&gt;"include"),"",IFERROR(MAX(_xlfn.MODE.MULT(IF(($A$4:$A$129=A52)*($B$4:$B$129=B52)*($C$4:$C$129=C52)*($E$4:$E$129=E52),$U$4:$U$129))),U52))</f>
        <v/>
      </c>
      <c r="Y52" s="12" t="str">
        <f t="shared" ref="Y52:Y62" si="72">IF(OR(J52=2019,K52&lt;&gt;"include"),"",IFERROR(IF(AND(W52/X52&gt;0.2,W52/X52&lt;=1),X52,W52),W52))</f>
        <v/>
      </c>
      <c r="Z52" s="12" t="str">
        <f t="shared" ref="Z52:Z62" si="73">IF(OR(J52=2019,K52&lt;&gt;"include"),"",IFERROR(IF(W52&lt;X52*0.2,W52,IF(Y52&lt;MAX(0,N52)*0.8,Y52,Y52-MAX(0,M52))),Y52-MAX(0,M52)))</f>
        <v/>
      </c>
      <c r="AA52" s="12" t="str">
        <f t="shared" ref="AA52:AA62" si="74">IF(OR(J52=2020,K52="include"),"",ROUND(H52*(1+L52),2))</f>
        <v/>
      </c>
      <c r="AB52" s="12" t="str">
        <f t="shared" ref="AB52:AB62" si="75">IF(OR(J52=2019,K52="include"),"",H52)</f>
        <v/>
      </c>
      <c r="AC52" s="12">
        <f t="shared" ref="AC52:AC62" si="76">IF(AND(J52=2019,K52="include"),ROUND(I52*V52,2),IF(AND(J52=2020,K52="include"),ROUND(I52*Z52,2),IF(AND(J52=2019,K52&lt;&gt;"include"),AA52,AB52)))</f>
        <v>3625.02</v>
      </c>
    </row>
    <row r="53" spans="1:29" x14ac:dyDescent="0.2">
      <c r="A53" s="3" t="s">
        <v>42</v>
      </c>
      <c r="B53" s="3" t="s">
        <v>44</v>
      </c>
      <c r="C53" s="3" t="s">
        <v>43</v>
      </c>
      <c r="D53" s="3" t="s">
        <v>35</v>
      </c>
      <c r="E53" s="3" t="s">
        <v>45</v>
      </c>
      <c r="F53" s="9">
        <v>43556</v>
      </c>
      <c r="G53" s="3">
        <v>2</v>
      </c>
      <c r="H53" s="3">
        <v>1862.76</v>
      </c>
      <c r="I53" s="3">
        <v>12</v>
      </c>
      <c r="J53" s="10">
        <f t="shared" si="64"/>
        <v>2019</v>
      </c>
      <c r="K53" s="3" t="str" cm="1">
        <f t="array" ref="K53">IF(I53="","no unit",IF(I53=0,"0 unit",IF(H53/I53=1,"$1 rate",IF(AND(MAX(IF(($A$4:$A$129=A53)*($B$4:$B$129=B53)*($C$4:$C$129=C53)*($E$4:$E$129=E53),$I$4:$I$129))=1,COUNTIFS($A$4:$A$129,A53,$B$4:$B$129,B53,$C$4:$C$129,C53,$E$4:$E$129,E53,$J$4:$J$129,2019,$H$4:$H$129,MODE(IF(($A$4:$A$129=A53)*($B$4:$B$129=B53)*($C$4:$C$129=C53)*($E$4:$E$129=E53)*($J$4:$J$129=2019),$H$4:$H$129)))&lt;2),"1 unit","include"))))</f>
        <v>include</v>
      </c>
      <c r="L53" s="11">
        <v>8.2000000000000003E-2</v>
      </c>
      <c r="M53" s="4"/>
      <c r="N53" s="4"/>
      <c r="O53" s="13">
        <f t="shared" si="65"/>
        <v>155.22999999999999</v>
      </c>
      <c r="P53" s="12">
        <f t="array" ref="P53">IF(OR(J53=2020,K53&lt;&gt;"include"),"",IFERROR(MAX(_xlfn.MODE.MULT(IF(($A$4:$A$129=A53)*($B$4:$B$129=B53)*($C$4:$C$129=C53)*($J$4:$J$129=J53)*($E$4:$E$129=E53),$O$4:$O$129))),O53))</f>
        <v>155.22999999999999</v>
      </c>
      <c r="Q53" s="12">
        <f t="shared" si="66"/>
        <v>155.22999999999999</v>
      </c>
      <c r="R53" s="12">
        <f t="shared" si="67"/>
        <v>155.22999999999999</v>
      </c>
      <c r="S53" s="12">
        <f t="shared" si="68"/>
        <v>167.96</v>
      </c>
      <c r="T53" s="14">
        <v>172.62</v>
      </c>
      <c r="U53" s="12">
        <f t="shared" si="69"/>
        <v>172.62</v>
      </c>
      <c r="V53" s="12">
        <f t="shared" si="70"/>
        <v>172.62</v>
      </c>
      <c r="W53" s="12" t="str">
        <f t="shared" si="71"/>
        <v/>
      </c>
      <c r="X53" s="12" t="str">
        <f t="array" ref="X53">IF(OR(J53=2019,K53&lt;&gt;"include"),"",IFERROR(MAX(_xlfn.MODE.MULT(IF(($A$4:$A$129=A53)*($B$4:$B$129=B53)*($C$4:$C$129=C53)*($E$4:$E$129=E53),$U$4:$U$129))),U53))</f>
        <v/>
      </c>
      <c r="Y53" s="12" t="str">
        <f t="shared" si="72"/>
        <v/>
      </c>
      <c r="Z53" s="12" t="str">
        <f t="shared" si="73"/>
        <v/>
      </c>
      <c r="AA53" s="12" t="str">
        <f t="shared" si="74"/>
        <v/>
      </c>
      <c r="AB53" s="12" t="str">
        <f t="shared" si="75"/>
        <v/>
      </c>
      <c r="AC53" s="12">
        <f t="shared" si="76"/>
        <v>2071.44</v>
      </c>
    </row>
    <row r="54" spans="1:29" x14ac:dyDescent="0.2">
      <c r="A54" s="3" t="s">
        <v>42</v>
      </c>
      <c r="B54" s="3" t="s">
        <v>44</v>
      </c>
      <c r="C54" s="3" t="s">
        <v>43</v>
      </c>
      <c r="D54" s="3" t="s">
        <v>35</v>
      </c>
      <c r="E54" s="3" t="s">
        <v>45</v>
      </c>
      <c r="F54" s="9">
        <v>43586</v>
      </c>
      <c r="G54" s="3">
        <v>1</v>
      </c>
      <c r="H54" s="3">
        <v>3015</v>
      </c>
      <c r="I54" s="3">
        <v>20</v>
      </c>
      <c r="J54" s="10">
        <f t="shared" si="64"/>
        <v>2019</v>
      </c>
      <c r="K54" s="3" t="str" cm="1">
        <f t="array" ref="K54">IF(I54="","no unit",IF(I54=0,"0 unit",IF(H54/I54=1,"$1 rate",IF(AND(MAX(IF(($A$4:$A$129=A54)*($B$4:$B$129=B54)*($C$4:$C$129=C54)*($E$4:$E$129=E54),$I$4:$I$129))=1,COUNTIFS($A$4:$A$129,A54,$B$4:$B$129,B54,$C$4:$C$129,C54,$E$4:$E$129,E54,$J$4:$J$129,2019,$H$4:$H$129,MODE(IF(($A$4:$A$129=A54)*($B$4:$B$129=B54)*($C$4:$C$129=C54)*($E$4:$E$129=E54)*($J$4:$J$129=2019),$H$4:$H$129)))&lt;2),"1 unit","include"))))</f>
        <v>include</v>
      </c>
      <c r="L54" s="11">
        <v>8.2000000000000003E-2</v>
      </c>
      <c r="M54" s="4"/>
      <c r="N54" s="4"/>
      <c r="O54" s="13">
        <f t="shared" si="65"/>
        <v>150.75</v>
      </c>
      <c r="P54" s="12">
        <f t="array" ref="P54">IF(OR(J54=2020,K54&lt;&gt;"include"),"",IFERROR(MAX(_xlfn.MODE.MULT(IF(($A$4:$A$129=A54)*($B$4:$B$129=B54)*($C$4:$C$129=C54)*($J$4:$J$129=J54)*($E$4:$E$129=E54),$O$4:$O$129))),O54))</f>
        <v>155.22999999999999</v>
      </c>
      <c r="Q54" s="12">
        <f t="shared" si="66"/>
        <v>155.22999999999999</v>
      </c>
      <c r="R54" s="12">
        <f t="shared" si="67"/>
        <v>155.22999999999999</v>
      </c>
      <c r="S54" s="12">
        <f t="shared" si="68"/>
        <v>167.96</v>
      </c>
      <c r="T54" s="14">
        <v>172.62</v>
      </c>
      <c r="U54" s="12">
        <f t="shared" si="69"/>
        <v>172.62</v>
      </c>
      <c r="V54" s="12">
        <f t="shared" si="70"/>
        <v>172.62</v>
      </c>
      <c r="W54" s="12" t="str">
        <f t="shared" si="71"/>
        <v/>
      </c>
      <c r="X54" s="12" t="str">
        <f t="array" ref="X54">IF(OR(J54=2019,K54&lt;&gt;"include"),"",IFERROR(MAX(_xlfn.MODE.MULT(IF(($A$4:$A$129=A54)*($B$4:$B$129=B54)*($C$4:$C$129=C54)*($E$4:$E$129=E54),$U$4:$U$129))),U54))</f>
        <v/>
      </c>
      <c r="Y54" s="12" t="str">
        <f t="shared" si="72"/>
        <v/>
      </c>
      <c r="Z54" s="12" t="str">
        <f t="shared" si="73"/>
        <v/>
      </c>
      <c r="AA54" s="12" t="str">
        <f t="shared" si="74"/>
        <v/>
      </c>
      <c r="AB54" s="12" t="str">
        <f t="shared" si="75"/>
        <v/>
      </c>
      <c r="AC54" s="12">
        <f t="shared" si="76"/>
        <v>3452.4</v>
      </c>
    </row>
    <row r="55" spans="1:29" x14ac:dyDescent="0.2">
      <c r="A55" s="3" t="s">
        <v>42</v>
      </c>
      <c r="B55" s="3" t="s">
        <v>44</v>
      </c>
      <c r="C55" s="3" t="s">
        <v>43</v>
      </c>
      <c r="D55" s="3" t="s">
        <v>35</v>
      </c>
      <c r="E55" s="3" t="s">
        <v>45</v>
      </c>
      <c r="F55" s="9">
        <v>43617</v>
      </c>
      <c r="G55" s="3">
        <v>1</v>
      </c>
      <c r="H55" s="3">
        <v>2483.6799999999998</v>
      </c>
      <c r="I55" s="3">
        <v>16</v>
      </c>
      <c r="J55" s="10">
        <f t="shared" si="64"/>
        <v>2019</v>
      </c>
      <c r="K55" s="3" t="str" cm="1">
        <f t="array" ref="K55">IF(I55="","no unit",IF(I55=0,"0 unit",IF(H55/I55=1,"$1 rate",IF(AND(MAX(IF(($A$4:$A$129=A55)*($B$4:$B$129=B55)*($C$4:$C$129=C55)*($E$4:$E$129=E55),$I$4:$I$129))=1,COUNTIFS($A$4:$A$129,A55,$B$4:$B$129,B55,$C$4:$C$129,C55,$E$4:$E$129,E55,$J$4:$J$129,2019,$H$4:$H$129,MODE(IF(($A$4:$A$129=A55)*($B$4:$B$129=B55)*($C$4:$C$129=C55)*($E$4:$E$129=E55)*($J$4:$J$129=2019),$H$4:$H$129)))&lt;2),"1 unit","include"))))</f>
        <v>include</v>
      </c>
      <c r="L55" s="11">
        <v>8.2000000000000003E-2</v>
      </c>
      <c r="M55" s="4"/>
      <c r="N55" s="4"/>
      <c r="O55" s="13">
        <f t="shared" si="65"/>
        <v>155.22999999999999</v>
      </c>
      <c r="P55" s="12">
        <f t="array" ref="P55">IF(OR(J55=2020,K55&lt;&gt;"include"),"",IFERROR(MAX(_xlfn.MODE.MULT(IF(($A$4:$A$129=A55)*($B$4:$B$129=B55)*($C$4:$C$129=C55)*($J$4:$J$129=J55)*($E$4:$E$129=E55),$O$4:$O$129))),O55))</f>
        <v>155.22999999999999</v>
      </c>
      <c r="Q55" s="12">
        <f t="shared" si="66"/>
        <v>155.22999999999999</v>
      </c>
      <c r="R55" s="12">
        <f t="shared" si="67"/>
        <v>155.22999999999999</v>
      </c>
      <c r="S55" s="12">
        <f t="shared" si="68"/>
        <v>167.96</v>
      </c>
      <c r="T55" s="14">
        <v>172.62</v>
      </c>
      <c r="U55" s="12">
        <f t="shared" si="69"/>
        <v>172.62</v>
      </c>
      <c r="V55" s="12">
        <f t="shared" si="70"/>
        <v>172.62</v>
      </c>
      <c r="W55" s="12" t="str">
        <f t="shared" si="71"/>
        <v/>
      </c>
      <c r="X55" s="12" t="str">
        <f t="array" ref="X55">IF(OR(J55=2019,K55&lt;&gt;"include"),"",IFERROR(MAX(_xlfn.MODE.MULT(IF(($A$4:$A$129=A55)*($B$4:$B$129=B55)*($C$4:$C$129=C55)*($E$4:$E$129=E55),$U$4:$U$129))),U55))</f>
        <v/>
      </c>
      <c r="Y55" s="12" t="str">
        <f t="shared" si="72"/>
        <v/>
      </c>
      <c r="Z55" s="12" t="str">
        <f t="shared" si="73"/>
        <v/>
      </c>
      <c r="AA55" s="12" t="str">
        <f t="shared" si="74"/>
        <v/>
      </c>
      <c r="AB55" s="12" t="str">
        <f t="shared" si="75"/>
        <v/>
      </c>
      <c r="AC55" s="12">
        <f t="shared" si="76"/>
        <v>2761.92</v>
      </c>
    </row>
    <row r="56" spans="1:29" x14ac:dyDescent="0.2">
      <c r="A56" s="3" t="s">
        <v>42</v>
      </c>
      <c r="B56" s="3" t="s">
        <v>44</v>
      </c>
      <c r="C56" s="3" t="s">
        <v>43</v>
      </c>
      <c r="D56" s="3" t="s">
        <v>35</v>
      </c>
      <c r="E56" s="3" t="s">
        <v>45</v>
      </c>
      <c r="F56" s="9">
        <v>43678</v>
      </c>
      <c r="G56" s="3">
        <v>1</v>
      </c>
      <c r="H56" s="3">
        <v>1707.53</v>
      </c>
      <c r="I56" s="3">
        <v>11</v>
      </c>
      <c r="J56" s="10">
        <f t="shared" si="64"/>
        <v>2019</v>
      </c>
      <c r="K56" s="3" t="str" cm="1">
        <f t="array" ref="K56">IF(I56="","no unit",IF(I56=0,"0 unit",IF(H56/I56=1,"$1 rate",IF(AND(MAX(IF(($A$4:$A$129=A56)*($B$4:$B$129=B56)*($C$4:$C$129=C56)*($E$4:$E$129=E56),$I$4:$I$129))=1,COUNTIFS($A$4:$A$129,A56,$B$4:$B$129,B56,$C$4:$C$129,C56,$E$4:$E$129,E56,$J$4:$J$129,2019,$H$4:$H$129,MODE(IF(($A$4:$A$129=A56)*($B$4:$B$129=B56)*($C$4:$C$129=C56)*($E$4:$E$129=E56)*($J$4:$J$129=2019),$H$4:$H$129)))&lt;2),"1 unit","include"))))</f>
        <v>include</v>
      </c>
      <c r="L56" s="11">
        <v>8.2000000000000003E-2</v>
      </c>
      <c r="M56" s="4"/>
      <c r="N56" s="4"/>
      <c r="O56" s="13">
        <f t="shared" si="65"/>
        <v>155.22999999999999</v>
      </c>
      <c r="P56" s="12">
        <f t="array" ref="P56">IF(OR(J56=2020,K56&lt;&gt;"include"),"",IFERROR(MAX(_xlfn.MODE.MULT(IF(($A$4:$A$129=A56)*($B$4:$B$129=B56)*($C$4:$C$129=C56)*($J$4:$J$129=J56)*($E$4:$E$129=E56),$O$4:$O$129))),O56))</f>
        <v>155.22999999999999</v>
      </c>
      <c r="Q56" s="12">
        <f t="shared" si="66"/>
        <v>155.22999999999999</v>
      </c>
      <c r="R56" s="12">
        <f t="shared" si="67"/>
        <v>155.22999999999999</v>
      </c>
      <c r="S56" s="12">
        <f t="shared" si="68"/>
        <v>167.96</v>
      </c>
      <c r="T56" s="14">
        <v>172.62</v>
      </c>
      <c r="U56" s="12">
        <f t="shared" si="69"/>
        <v>172.62</v>
      </c>
      <c r="V56" s="12">
        <f t="shared" si="70"/>
        <v>172.62</v>
      </c>
      <c r="W56" s="12" t="str">
        <f t="shared" si="71"/>
        <v/>
      </c>
      <c r="X56" s="12" t="str">
        <f t="array" ref="X56">IF(OR(J56=2019,K56&lt;&gt;"include"),"",IFERROR(MAX(_xlfn.MODE.MULT(IF(($A$4:$A$129=A56)*($B$4:$B$129=B56)*($C$4:$C$129=C56)*($E$4:$E$129=E56),$U$4:$U$129))),U56))</f>
        <v/>
      </c>
      <c r="Y56" s="12" t="str">
        <f t="shared" si="72"/>
        <v/>
      </c>
      <c r="Z56" s="12" t="str">
        <f t="shared" si="73"/>
        <v/>
      </c>
      <c r="AA56" s="12" t="str">
        <f t="shared" si="74"/>
        <v/>
      </c>
      <c r="AB56" s="12" t="str">
        <f t="shared" si="75"/>
        <v/>
      </c>
      <c r="AC56" s="12">
        <f t="shared" si="76"/>
        <v>1898.82</v>
      </c>
    </row>
    <row r="57" spans="1:29" x14ac:dyDescent="0.2">
      <c r="A57" s="3" t="s">
        <v>42</v>
      </c>
      <c r="B57" s="3" t="s">
        <v>44</v>
      </c>
      <c r="C57" s="3" t="s">
        <v>43</v>
      </c>
      <c r="D57" s="3" t="s">
        <v>35</v>
      </c>
      <c r="E57" s="3" t="s">
        <v>45</v>
      </c>
      <c r="F57" s="9">
        <v>43709</v>
      </c>
      <c r="G57" s="3">
        <v>1</v>
      </c>
      <c r="H57" s="3">
        <v>2794.14</v>
      </c>
      <c r="I57" s="3">
        <v>18</v>
      </c>
      <c r="J57" s="10">
        <f t="shared" si="64"/>
        <v>2019</v>
      </c>
      <c r="K57" s="3" t="str" cm="1">
        <f t="array" ref="K57">IF(I57="","no unit",IF(I57=0,"0 unit",IF(H57/I57=1,"$1 rate",IF(AND(MAX(IF(($A$4:$A$129=A57)*($B$4:$B$129=B57)*($C$4:$C$129=C57)*($E$4:$E$129=E57),$I$4:$I$129))=1,COUNTIFS($A$4:$A$129,A57,$B$4:$B$129,B57,$C$4:$C$129,C57,$E$4:$E$129,E57,$J$4:$J$129,2019,$H$4:$H$129,MODE(IF(($A$4:$A$129=A57)*($B$4:$B$129=B57)*($C$4:$C$129=C57)*($E$4:$E$129=E57)*($J$4:$J$129=2019),$H$4:$H$129)))&lt;2),"1 unit","include"))))</f>
        <v>include</v>
      </c>
      <c r="L57" s="11">
        <v>8.2000000000000003E-2</v>
      </c>
      <c r="M57" s="4"/>
      <c r="N57" s="4"/>
      <c r="O57" s="13">
        <f t="shared" si="65"/>
        <v>155.22999999999999</v>
      </c>
      <c r="P57" s="12">
        <f t="array" ref="P57">IF(OR(J57=2020,K57&lt;&gt;"include"),"",IFERROR(MAX(_xlfn.MODE.MULT(IF(($A$4:$A$129=A57)*($B$4:$B$129=B57)*($C$4:$C$129=C57)*($J$4:$J$129=J57)*($E$4:$E$129=E57),$O$4:$O$129))),O57))</f>
        <v>155.22999999999999</v>
      </c>
      <c r="Q57" s="12">
        <f t="shared" si="66"/>
        <v>155.22999999999999</v>
      </c>
      <c r="R57" s="12">
        <f t="shared" si="67"/>
        <v>155.22999999999999</v>
      </c>
      <c r="S57" s="12">
        <f t="shared" si="68"/>
        <v>167.96</v>
      </c>
      <c r="T57" s="14">
        <v>172.62</v>
      </c>
      <c r="U57" s="12">
        <f t="shared" si="69"/>
        <v>172.62</v>
      </c>
      <c r="V57" s="12">
        <f t="shared" si="70"/>
        <v>172.62</v>
      </c>
      <c r="W57" s="12" t="str">
        <f t="shared" si="71"/>
        <v/>
      </c>
      <c r="X57" s="12" t="str">
        <f t="array" ref="X57">IF(OR(J57=2019,K57&lt;&gt;"include"),"",IFERROR(MAX(_xlfn.MODE.MULT(IF(($A$4:$A$129=A57)*($B$4:$B$129=B57)*($C$4:$C$129=C57)*($E$4:$E$129=E57),$U$4:$U$129))),U57))</f>
        <v/>
      </c>
      <c r="Y57" s="12" t="str">
        <f t="shared" si="72"/>
        <v/>
      </c>
      <c r="Z57" s="12" t="str">
        <f t="shared" si="73"/>
        <v/>
      </c>
      <c r="AA57" s="12" t="str">
        <f t="shared" si="74"/>
        <v/>
      </c>
      <c r="AB57" s="12" t="str">
        <f t="shared" si="75"/>
        <v/>
      </c>
      <c r="AC57" s="12">
        <f t="shared" si="76"/>
        <v>3107.16</v>
      </c>
    </row>
    <row r="58" spans="1:29" x14ac:dyDescent="0.2">
      <c r="A58" s="3" t="s">
        <v>42</v>
      </c>
      <c r="B58" s="3" t="s">
        <v>44</v>
      </c>
      <c r="C58" s="3" t="s">
        <v>43</v>
      </c>
      <c r="D58" s="3" t="s">
        <v>35</v>
      </c>
      <c r="E58" s="3" t="s">
        <v>45</v>
      </c>
      <c r="F58" s="9">
        <v>43739</v>
      </c>
      <c r="G58" s="3">
        <v>1</v>
      </c>
      <c r="H58" s="3">
        <v>3415.06</v>
      </c>
      <c r="I58" s="3">
        <v>22</v>
      </c>
      <c r="J58" s="10">
        <f t="shared" si="64"/>
        <v>2019</v>
      </c>
      <c r="K58" s="3" t="str" cm="1">
        <f t="array" ref="K58">IF(I58="","no unit",IF(I58=0,"0 unit",IF(H58/I58=1,"$1 rate",IF(AND(MAX(IF(($A$4:$A$129=A58)*($B$4:$B$129=B58)*($C$4:$C$129=C58)*($E$4:$E$129=E58),$I$4:$I$129))=1,COUNTIFS($A$4:$A$129,A58,$B$4:$B$129,B58,$C$4:$C$129,C58,$E$4:$E$129,E58,$J$4:$J$129,2019,$H$4:$H$129,MODE(IF(($A$4:$A$129=A58)*($B$4:$B$129=B58)*($C$4:$C$129=C58)*($E$4:$E$129=E58)*($J$4:$J$129=2019),$H$4:$H$129)))&lt;2),"1 unit","include"))))</f>
        <v>include</v>
      </c>
      <c r="L58" s="11">
        <v>8.2000000000000003E-2</v>
      </c>
      <c r="M58" s="4"/>
      <c r="N58" s="4"/>
      <c r="O58" s="13">
        <f t="shared" si="65"/>
        <v>155.22999999999999</v>
      </c>
      <c r="P58" s="12">
        <f t="array" ref="P58">IF(OR(J58=2020,K58&lt;&gt;"include"),"",IFERROR(MAX(_xlfn.MODE.MULT(IF(($A$4:$A$129=A58)*($B$4:$B$129=B58)*($C$4:$C$129=C58)*($J$4:$J$129=J58)*($E$4:$E$129=E58),$O$4:$O$129))),O58))</f>
        <v>155.22999999999999</v>
      </c>
      <c r="Q58" s="12">
        <f t="shared" si="66"/>
        <v>155.22999999999999</v>
      </c>
      <c r="R58" s="12">
        <f t="shared" si="67"/>
        <v>155.22999999999999</v>
      </c>
      <c r="S58" s="12">
        <f t="shared" si="68"/>
        <v>167.96</v>
      </c>
      <c r="T58" s="14">
        <v>172.62</v>
      </c>
      <c r="U58" s="12">
        <f t="shared" si="69"/>
        <v>172.62</v>
      </c>
      <c r="V58" s="12">
        <f t="shared" si="70"/>
        <v>172.62</v>
      </c>
      <c r="W58" s="12" t="str">
        <f t="shared" si="71"/>
        <v/>
      </c>
      <c r="X58" s="12" t="str">
        <f t="array" ref="X58">IF(OR(J58=2019,K58&lt;&gt;"include"),"",IFERROR(MAX(_xlfn.MODE.MULT(IF(($A$4:$A$129=A58)*($B$4:$B$129=B58)*($C$4:$C$129=C58)*($E$4:$E$129=E58),$U$4:$U$129))),U58))</f>
        <v/>
      </c>
      <c r="Y58" s="12" t="str">
        <f t="shared" si="72"/>
        <v/>
      </c>
      <c r="Z58" s="12" t="str">
        <f t="shared" si="73"/>
        <v/>
      </c>
      <c r="AA58" s="12" t="str">
        <f t="shared" si="74"/>
        <v/>
      </c>
      <c r="AB58" s="12" t="str">
        <f t="shared" si="75"/>
        <v/>
      </c>
      <c r="AC58" s="12">
        <f t="shared" si="76"/>
        <v>3797.64</v>
      </c>
    </row>
    <row r="59" spans="1:29" x14ac:dyDescent="0.2">
      <c r="A59" s="3" t="s">
        <v>42</v>
      </c>
      <c r="B59" s="3" t="s">
        <v>44</v>
      </c>
      <c r="C59" s="3" t="s">
        <v>43</v>
      </c>
      <c r="D59" s="3" t="s">
        <v>35</v>
      </c>
      <c r="E59" s="3" t="s">
        <v>45</v>
      </c>
      <c r="F59" s="9">
        <v>43770</v>
      </c>
      <c r="G59" s="3">
        <v>1</v>
      </c>
      <c r="H59" s="3">
        <v>2328.4499999999998</v>
      </c>
      <c r="I59" s="3">
        <v>15</v>
      </c>
      <c r="J59" s="10">
        <f t="shared" si="64"/>
        <v>2019</v>
      </c>
      <c r="K59" s="3" t="str" cm="1">
        <f t="array" ref="K59">IF(I59="","no unit",IF(I59=0,"0 unit",IF(H59/I59=1,"$1 rate",IF(AND(MAX(IF(($A$4:$A$129=A59)*($B$4:$B$129=B59)*($C$4:$C$129=C59)*($E$4:$E$129=E59),$I$4:$I$129))=1,COUNTIFS($A$4:$A$129,A59,$B$4:$B$129,B59,$C$4:$C$129,C59,$E$4:$E$129,E59,$J$4:$J$129,2019,$H$4:$H$129,MODE(IF(($A$4:$A$129=A59)*($B$4:$B$129=B59)*($C$4:$C$129=C59)*($E$4:$E$129=E59)*($J$4:$J$129=2019),$H$4:$H$129)))&lt;2),"1 unit","include"))))</f>
        <v>include</v>
      </c>
      <c r="L59" s="11">
        <v>8.2000000000000003E-2</v>
      </c>
      <c r="M59" s="4"/>
      <c r="N59" s="4"/>
      <c r="O59" s="13">
        <f t="shared" si="65"/>
        <v>155.22999999999999</v>
      </c>
      <c r="P59" s="12">
        <f t="array" ref="P59">IF(OR(J59=2020,K59&lt;&gt;"include"),"",IFERROR(MAX(_xlfn.MODE.MULT(IF(($A$4:$A$129=A59)*($B$4:$B$129=B59)*($C$4:$C$129=C59)*($J$4:$J$129=J59)*($E$4:$E$129=E59),$O$4:$O$129))),O59))</f>
        <v>155.22999999999999</v>
      </c>
      <c r="Q59" s="12">
        <f t="shared" si="66"/>
        <v>155.22999999999999</v>
      </c>
      <c r="R59" s="12">
        <f t="shared" si="67"/>
        <v>155.22999999999999</v>
      </c>
      <c r="S59" s="12">
        <f t="shared" si="68"/>
        <v>167.96</v>
      </c>
      <c r="T59" s="14">
        <v>172.62</v>
      </c>
      <c r="U59" s="12">
        <f t="shared" si="69"/>
        <v>172.62</v>
      </c>
      <c r="V59" s="12">
        <f t="shared" si="70"/>
        <v>172.62</v>
      </c>
      <c r="W59" s="12" t="str">
        <f t="shared" si="71"/>
        <v/>
      </c>
      <c r="X59" s="12" t="str">
        <f t="array" ref="X59">IF(OR(J59=2019,K59&lt;&gt;"include"),"",IFERROR(MAX(_xlfn.MODE.MULT(IF(($A$4:$A$129=A59)*($B$4:$B$129=B59)*($C$4:$C$129=C59)*($E$4:$E$129=E59),$U$4:$U$129))),U59))</f>
        <v/>
      </c>
      <c r="Y59" s="12" t="str">
        <f t="shared" si="72"/>
        <v/>
      </c>
      <c r="Z59" s="12" t="str">
        <f t="shared" si="73"/>
        <v/>
      </c>
      <c r="AA59" s="12" t="str">
        <f t="shared" si="74"/>
        <v/>
      </c>
      <c r="AB59" s="12" t="str">
        <f t="shared" si="75"/>
        <v/>
      </c>
      <c r="AC59" s="12">
        <f t="shared" si="76"/>
        <v>2589.3000000000002</v>
      </c>
    </row>
    <row r="60" spans="1:29" x14ac:dyDescent="0.2">
      <c r="A60" s="3" t="s">
        <v>42</v>
      </c>
      <c r="B60" s="3" t="s">
        <v>44</v>
      </c>
      <c r="C60" s="3" t="s">
        <v>43</v>
      </c>
      <c r="D60" s="3" t="s">
        <v>35</v>
      </c>
      <c r="E60" s="3" t="s">
        <v>45</v>
      </c>
      <c r="F60" s="9">
        <v>43800</v>
      </c>
      <c r="G60" s="3">
        <v>1</v>
      </c>
      <c r="H60" s="3">
        <v>155.22999999999999</v>
      </c>
      <c r="I60" s="3">
        <v>1</v>
      </c>
      <c r="J60" s="10">
        <f t="shared" si="64"/>
        <v>2019</v>
      </c>
      <c r="K60" s="3" t="str" cm="1">
        <f t="array" ref="K60">IF(I60="","no unit",IF(I60=0,"0 unit",IF(H60/I60=1,"$1 rate",IF(AND(MAX(IF(($A$4:$A$129=A60)*($B$4:$B$129=B60)*($C$4:$C$129=C60)*($E$4:$E$129=E60),$I$4:$I$129))=1,COUNTIFS($A$4:$A$129,A60,$B$4:$B$129,B60,$C$4:$C$129,C60,$E$4:$E$129,E60,$J$4:$J$129,2019,$H$4:$H$129,MODE(IF(($A$4:$A$129=A60)*($B$4:$B$129=B60)*($C$4:$C$129=C60)*($E$4:$E$129=E60)*($J$4:$J$129=2019),$H$4:$H$129)))&lt;2),"1 unit","include"))))</f>
        <v>include</v>
      </c>
      <c r="L60" s="11">
        <v>8.2000000000000003E-2</v>
      </c>
      <c r="M60" s="4"/>
      <c r="N60" s="4"/>
      <c r="O60" s="13">
        <f t="shared" si="65"/>
        <v>155.22999999999999</v>
      </c>
      <c r="P60" s="12">
        <f t="array" ref="P60">IF(OR(J60=2020,K60&lt;&gt;"include"),"",IFERROR(MAX(_xlfn.MODE.MULT(IF(($A$4:$A$129=A60)*($B$4:$B$129=B60)*($C$4:$C$129=C60)*($J$4:$J$129=J60)*($E$4:$E$129=E60),$O$4:$O$129))),O60))</f>
        <v>155.22999999999999</v>
      </c>
      <c r="Q60" s="12">
        <f t="shared" si="66"/>
        <v>155.22999999999999</v>
      </c>
      <c r="R60" s="12">
        <f t="shared" si="67"/>
        <v>155.22999999999999</v>
      </c>
      <c r="S60" s="12">
        <f t="shared" si="68"/>
        <v>167.96</v>
      </c>
      <c r="T60" s="14">
        <v>172.62</v>
      </c>
      <c r="U60" s="12">
        <f t="shared" si="69"/>
        <v>172.62</v>
      </c>
      <c r="V60" s="12">
        <f t="shared" si="70"/>
        <v>172.62</v>
      </c>
      <c r="W60" s="12" t="str">
        <f t="shared" si="71"/>
        <v/>
      </c>
      <c r="X60" s="12" t="str">
        <f t="array" ref="X60">IF(OR(J60=2019,K60&lt;&gt;"include"),"",IFERROR(MAX(_xlfn.MODE.MULT(IF(($A$4:$A$129=A60)*($B$4:$B$129=B60)*($C$4:$C$129=C60)*($E$4:$E$129=E60),$U$4:$U$129))),U60))</f>
        <v/>
      </c>
      <c r="Y60" s="12" t="str">
        <f t="shared" si="72"/>
        <v/>
      </c>
      <c r="Z60" s="12" t="str">
        <f t="shared" si="73"/>
        <v/>
      </c>
      <c r="AA60" s="12" t="str">
        <f t="shared" si="74"/>
        <v/>
      </c>
      <c r="AB60" s="12" t="str">
        <f t="shared" si="75"/>
        <v/>
      </c>
      <c r="AC60" s="12">
        <f t="shared" si="76"/>
        <v>172.62</v>
      </c>
    </row>
    <row r="61" spans="1:29" x14ac:dyDescent="0.2">
      <c r="A61" s="3" t="s">
        <v>42</v>
      </c>
      <c r="B61" s="3" t="s">
        <v>44</v>
      </c>
      <c r="C61" s="3" t="s">
        <v>43</v>
      </c>
      <c r="D61" s="3" t="s">
        <v>35</v>
      </c>
      <c r="E61" s="3" t="s">
        <v>45</v>
      </c>
      <c r="F61" s="9">
        <v>43831</v>
      </c>
      <c r="G61" s="3">
        <v>2</v>
      </c>
      <c r="H61" s="3">
        <v>1208.3399999999999</v>
      </c>
      <c r="I61" s="3">
        <v>7</v>
      </c>
      <c r="J61" s="10">
        <f t="shared" si="64"/>
        <v>2020</v>
      </c>
      <c r="K61" s="3" t="str" cm="1">
        <f t="array" ref="K61">IF(I61="","no unit",IF(I61=0,"0 unit",IF(H61/I61=1,"$1 rate",IF(AND(MAX(IF(($A$4:$A$129=A61)*($B$4:$B$129=B61)*($C$4:$C$129=C61)*($E$4:$E$129=E61),$I$4:$I$129))=1,COUNTIFS($A$4:$A$129,A61,$B$4:$B$129,B61,$C$4:$C$129,C61,$E$4:$E$129,E61,$J$4:$J$129,2019,$H$4:$H$129,MODE(IF(($A$4:$A$129=A61)*($B$4:$B$129=B61)*($C$4:$C$129=C61)*($E$4:$E$129=E61)*($J$4:$J$129=2019),$H$4:$H$129)))&lt;2),"1 unit","include"))))</f>
        <v>include</v>
      </c>
      <c r="L61" s="11">
        <v>8.2000000000000003E-2</v>
      </c>
      <c r="M61" s="4"/>
      <c r="N61" s="4"/>
      <c r="O61" s="13" t="str">
        <f t="shared" si="65"/>
        <v/>
      </c>
      <c r="P61" s="12" t="str">
        <f t="array" ref="P61">IF(OR(J61=2020,K61&lt;&gt;"include"),"",IFERROR(MAX(_xlfn.MODE.MULT(IF(($A$4:$A$129=A61)*($B$4:$B$129=B61)*($C$4:$C$129=C61)*($J$4:$J$129=J61)*($E$4:$E$129=E61),$O$4:$O$129))),O61))</f>
        <v/>
      </c>
      <c r="Q61" s="12" t="str">
        <f t="shared" si="66"/>
        <v/>
      </c>
      <c r="R61" s="12" t="str">
        <f t="shared" si="67"/>
        <v/>
      </c>
      <c r="S61" s="12" t="str">
        <f t="shared" si="68"/>
        <v/>
      </c>
      <c r="T61" s="14">
        <v>172.62</v>
      </c>
      <c r="U61" s="12" t="str">
        <f t="shared" si="69"/>
        <v/>
      </c>
      <c r="V61" s="12" t="str">
        <f t="shared" si="70"/>
        <v/>
      </c>
      <c r="W61" s="12">
        <f t="shared" si="71"/>
        <v>172.62</v>
      </c>
      <c r="X61" s="12">
        <f t="array" ref="X61">IF(OR(J61=2019,K61&lt;&gt;"include"),"",IFERROR(MAX(_xlfn.MODE.MULT(IF(($A$4:$A$129=A61)*($B$4:$B$129=B61)*($C$4:$C$129=C61)*($E$4:$E$129=E61),$U$4:$U$129))),U61))</f>
        <v>172.62</v>
      </c>
      <c r="Y61" s="12">
        <f t="shared" si="72"/>
        <v>172.62</v>
      </c>
      <c r="Z61" s="12">
        <f t="shared" si="73"/>
        <v>172.62</v>
      </c>
      <c r="AA61" s="12" t="str">
        <f t="shared" si="74"/>
        <v/>
      </c>
      <c r="AB61" s="12" t="str">
        <f t="shared" si="75"/>
        <v/>
      </c>
      <c r="AC61" s="12">
        <f t="shared" si="76"/>
        <v>1208.3399999999999</v>
      </c>
    </row>
    <row r="62" spans="1:29" x14ac:dyDescent="0.2">
      <c r="A62" s="3" t="s">
        <v>42</v>
      </c>
      <c r="B62" s="3" t="s">
        <v>44</v>
      </c>
      <c r="C62" s="3" t="s">
        <v>43</v>
      </c>
      <c r="D62" s="3" t="s">
        <v>35</v>
      </c>
      <c r="E62" s="3" t="s">
        <v>45</v>
      </c>
      <c r="F62" s="9">
        <v>43862</v>
      </c>
      <c r="G62" s="3">
        <v>2</v>
      </c>
      <c r="H62" s="3">
        <v>2934.54</v>
      </c>
      <c r="I62" s="3">
        <v>17</v>
      </c>
      <c r="J62" s="10">
        <f t="shared" si="64"/>
        <v>2020</v>
      </c>
      <c r="K62" s="3" t="str" cm="1">
        <f t="array" ref="K62">IF(I62="","no unit",IF(I62=0,"0 unit",IF(H62/I62=1,"$1 rate",IF(AND(MAX(IF(($A$4:$A$129=A62)*($B$4:$B$129=B62)*($C$4:$C$129=C62)*($E$4:$E$129=E62),$I$4:$I$129))=1,COUNTIFS($A$4:$A$129,A62,$B$4:$B$129,B62,$C$4:$C$129,C62,$E$4:$E$129,E62,$J$4:$J$129,2019,$H$4:$H$129,MODE(IF(($A$4:$A$129=A62)*($B$4:$B$129=B62)*($C$4:$C$129=C62)*($E$4:$E$129=E62)*($J$4:$J$129=2019),$H$4:$H$129)))&lt;2),"1 unit","include"))))</f>
        <v>include</v>
      </c>
      <c r="L62" s="11">
        <v>8.2000000000000003E-2</v>
      </c>
      <c r="M62" s="4"/>
      <c r="N62" s="4"/>
      <c r="O62" s="13" t="str">
        <f t="shared" si="65"/>
        <v/>
      </c>
      <c r="P62" s="12" t="str">
        <f t="array" ref="P62">IF(OR(J62=2020,K62&lt;&gt;"include"),"",IFERROR(MAX(_xlfn.MODE.MULT(IF(($A$4:$A$129=A62)*($B$4:$B$129=B62)*($C$4:$C$129=C62)*($J$4:$J$129=J62)*($E$4:$E$129=E62),$O$4:$O$129))),O62))</f>
        <v/>
      </c>
      <c r="Q62" s="12" t="str">
        <f t="shared" si="66"/>
        <v/>
      </c>
      <c r="R62" s="12" t="str">
        <f t="shared" si="67"/>
        <v/>
      </c>
      <c r="S62" s="12" t="str">
        <f t="shared" si="68"/>
        <v/>
      </c>
      <c r="T62" s="14">
        <v>172.62</v>
      </c>
      <c r="U62" s="12" t="str">
        <f t="shared" si="69"/>
        <v/>
      </c>
      <c r="V62" s="12" t="str">
        <f t="shared" si="70"/>
        <v/>
      </c>
      <c r="W62" s="12">
        <f t="shared" si="71"/>
        <v>172.62</v>
      </c>
      <c r="X62" s="12">
        <f t="array" ref="X62">IF(OR(J62=2019,K62&lt;&gt;"include"),"",IFERROR(MAX(_xlfn.MODE.MULT(IF(($A$4:$A$129=A62)*($B$4:$B$129=B62)*($C$4:$C$129=C62)*($E$4:$E$129=E62),$U$4:$U$129))),U62))</f>
        <v>172.62</v>
      </c>
      <c r="Y62" s="12">
        <f t="shared" si="72"/>
        <v>172.62</v>
      </c>
      <c r="Z62" s="12">
        <f t="shared" si="73"/>
        <v>172.62</v>
      </c>
      <c r="AA62" s="12" t="str">
        <f t="shared" si="74"/>
        <v/>
      </c>
      <c r="AB62" s="12" t="str">
        <f t="shared" si="75"/>
        <v/>
      </c>
      <c r="AC62" s="12">
        <f t="shared" si="76"/>
        <v>2934.54</v>
      </c>
    </row>
    <row r="64" spans="1:29" ht="13.5" x14ac:dyDescent="0.25">
      <c r="F64" s="15"/>
      <c r="L64" s="11"/>
      <c r="M64" s="12"/>
      <c r="N64" s="12"/>
      <c r="O64" s="13"/>
      <c r="P64" s="12"/>
      <c r="Q64" s="12"/>
      <c r="R64" s="12"/>
      <c r="S64" s="12"/>
      <c r="T64" s="14"/>
      <c r="U64" s="12"/>
      <c r="V64" s="12"/>
      <c r="W64" s="12"/>
      <c r="X64" s="2" t="s">
        <v>66</v>
      </c>
      <c r="Y64" s="12"/>
      <c r="Z64" s="12"/>
      <c r="AA64" s="12"/>
      <c r="AB64" s="12"/>
      <c r="AC64" s="12"/>
    </row>
    <row r="65" spans="1:29" x14ac:dyDescent="0.2">
      <c r="A65" s="3" t="s">
        <v>50</v>
      </c>
      <c r="B65" s="3" t="s">
        <v>51</v>
      </c>
      <c r="C65" s="3" t="s">
        <v>52</v>
      </c>
      <c r="D65" s="3" t="s">
        <v>35</v>
      </c>
      <c r="E65" s="3" t="s">
        <v>38</v>
      </c>
      <c r="F65" s="9">
        <v>43709</v>
      </c>
      <c r="G65" s="3">
        <v>1</v>
      </c>
      <c r="H65" s="3">
        <v>526.91999999999996</v>
      </c>
      <c r="I65" s="3">
        <v>6</v>
      </c>
      <c r="J65" s="10">
        <f t="shared" ref="J65:J70" si="77">YEAR(F65)</f>
        <v>2019</v>
      </c>
      <c r="K65" s="3" t="str" cm="1">
        <f t="array" ref="K65">IF(I65="","no unit",IF(I65=0,"0 unit",IF(H65/I65=1,"$1 rate",IF(AND(MAX(IF(($A$4:$A$129=A65)*($B$4:$B$129=B65)*($C$4:$C$129=C65)*($E$4:$E$129=E65),$I$4:$I$129))=1,COUNTIFS($A$4:$A$129,A65,$B$4:$B$129,B65,$C$4:$C$129,C65,$E$4:$E$129,E65,$J$4:$J$129,2019,$H$4:$H$129,MODE(IF(($A$4:$A$129=A65)*($B$4:$B$129=B65)*($C$4:$C$129=C65)*($E$4:$E$129=E65)*($J$4:$J$129=2019),$H$4:$H$129)))&lt;2),"1 unit","include"))))</f>
        <v>include</v>
      </c>
      <c r="L65" s="11">
        <v>8.2000000000000003E-2</v>
      </c>
      <c r="M65" s="4"/>
      <c r="N65" s="4"/>
      <c r="O65" s="13">
        <f t="shared" ref="O65:O70" si="78">IF(AND(J65=2019,K65="include"),IFERROR(ROUND(H65/I65,2),""),"")</f>
        <v>87.82</v>
      </c>
      <c r="P65" s="12">
        <f t="array" ref="P65">IF(OR(J65=2020,K65&lt;&gt;"include"),"",IFERROR(MAX(_xlfn.MODE.MULT(IF(($A$4:$A$129=A65)*($B$4:$B$129=B65)*($C$4:$C$129=C65)*($J$4:$J$129=J65)*($E$4:$E$129=E65),$O$4:$O$129))),O65))</f>
        <v>87.82</v>
      </c>
      <c r="Q65" s="12">
        <f t="shared" ref="Q65:Q70" si="79">IF(OR(J65=2020,K65&lt;&gt;"include"),"",IF(AND(O65&lt;=P65,O65&gt;=P65*0.2),P65,O65))</f>
        <v>87.82</v>
      </c>
      <c r="R65" s="12">
        <f t="shared" ref="R65:R70" si="80">IF(OR(J65=2020,K65&lt;&gt;"include"),"",IF(Q65&gt;=ROUND(MAX(0,N65)/(1+L65),2),MAX(ROUND(MAX(0,N65)/(1+L65),2),Q65-MAX(0,M65)),Q65))</f>
        <v>87.82</v>
      </c>
      <c r="S65" s="12">
        <f t="shared" ref="S65:S70" si="81">IFERROR(IF(OR(J65=2020,K65&lt;&gt;"include"),"",IF(Q65&lt;P65*0.2,ROUND(Q65*(1+L65),2),IF(R65&lt;MAX(0,N65)*0.8,ROUND(R65*(1+L65),2),ROUND(R65*(1+L65),2)+MAX(0,M65)))),"")</f>
        <v>95.02</v>
      </c>
      <c r="T65" s="14"/>
      <c r="U65" s="12">
        <f t="shared" ref="U65:U70" si="82">IFERROR(IF(AND(J65=2019,T65=""),S65,IF(J65=2020,"",IF(AND(S65/T65&gt;0.2,S65/T65&lt;=1),T65,S65))),"")</f>
        <v>95.02</v>
      </c>
      <c r="V65" s="12">
        <f t="shared" ref="V65:V70" si="83">IF(OR(J65=2020,K65&lt;&gt;"include"),"",IF(Q65&lt;P65*0.2,U65,IF(R65&lt;MAX(0,N65)*0.8,U65,U65-MAX(0,M65))))</f>
        <v>95.02</v>
      </c>
      <c r="W65" s="12" t="str">
        <f t="shared" ref="W65:W70" si="84">IF(AND(J65=2020,K65="include"),IFERROR(ROUND(H65/I65,2),""),"")</f>
        <v/>
      </c>
      <c r="X65" s="12" t="str">
        <f t="array" ref="X65">IF(OR(J65=2019,K65&lt;&gt;"include"),"",IFERROR(MAX(_xlfn.MODE.MULT(IF(($A$4:$A$129=A65)*($B$4:$B$129=B65)*($C$4:$C$129=C65)*($E$4:$E$129=E65),$U$4:$U$129))),U65))</f>
        <v/>
      </c>
      <c r="Y65" s="12" t="str">
        <f t="shared" ref="Y65:Y70" si="85">IF(OR(J65=2019,K65&lt;&gt;"include"),"",IFERROR(IF(AND(W65/X65&gt;0.2,W65/X65&lt;=1),X65,W65),W65))</f>
        <v/>
      </c>
      <c r="Z65" s="12" t="str">
        <f t="shared" ref="Z65:Z70" si="86">IF(OR(J65=2019,K65&lt;&gt;"include"),"",IFERROR(IF(W65&lt;X65*0.2,W65,IF(Y65&lt;MAX(0,N65)*0.8,Y65,Y65-MAX(0,M65))),Y65-MAX(0,M65)))</f>
        <v/>
      </c>
      <c r="AA65" s="12" t="str">
        <f t="shared" ref="AA65:AA70" si="87">IF(OR(J65=2020,K65="include"),"",ROUND(H65*(1+L65),2))</f>
        <v/>
      </c>
      <c r="AB65" s="12" t="str">
        <f t="shared" ref="AB65:AB70" si="88">IF(OR(J65=2019,K65="include"),"",H65)</f>
        <v/>
      </c>
      <c r="AC65" s="12">
        <f t="shared" ref="AC65:AC70" si="89">IF(AND(J65=2019,K65="include"),ROUND(I65*V65,2),IF(AND(J65=2020,K65="include"),ROUND(I65*Z65,2),IF(AND(J65=2019,K65&lt;&gt;"include"),AA65,AB65)))</f>
        <v>570.12</v>
      </c>
    </row>
    <row r="66" spans="1:29" x14ac:dyDescent="0.2">
      <c r="A66" s="3" t="s">
        <v>50</v>
      </c>
      <c r="B66" s="3" t="s">
        <v>51</v>
      </c>
      <c r="C66" s="3" t="s">
        <v>52</v>
      </c>
      <c r="D66" s="3" t="s">
        <v>35</v>
      </c>
      <c r="E66" s="3" t="s">
        <v>38</v>
      </c>
      <c r="F66" s="9">
        <v>43739</v>
      </c>
      <c r="G66" s="3">
        <v>1</v>
      </c>
      <c r="H66" s="3">
        <v>2019.86</v>
      </c>
      <c r="I66" s="3">
        <v>23</v>
      </c>
      <c r="J66" s="10">
        <f t="shared" si="77"/>
        <v>2019</v>
      </c>
      <c r="K66" s="3" t="str" cm="1">
        <f t="array" ref="K66">IF(I66="","no unit",IF(I66=0,"0 unit",IF(H66/I66=1,"$1 rate",IF(AND(MAX(IF(($A$4:$A$129=A66)*($B$4:$B$129=B66)*($C$4:$C$129=C66)*($E$4:$E$129=E66),$I$4:$I$129))=1,COUNTIFS($A$4:$A$129,A66,$B$4:$B$129,B66,$C$4:$C$129,C66,$E$4:$E$129,E66,$J$4:$J$129,2019,$H$4:$H$129,MODE(IF(($A$4:$A$129=A66)*($B$4:$B$129=B66)*($C$4:$C$129=C66)*($E$4:$E$129=E66)*($J$4:$J$129=2019),$H$4:$H$129)))&lt;2),"1 unit","include"))))</f>
        <v>include</v>
      </c>
      <c r="L66" s="11">
        <v>8.2000000000000003E-2</v>
      </c>
      <c r="M66" s="4"/>
      <c r="N66" s="4"/>
      <c r="O66" s="13">
        <f t="shared" si="78"/>
        <v>87.82</v>
      </c>
      <c r="P66" s="12">
        <f t="array" ref="P66">IF(OR(J66=2020,K66&lt;&gt;"include"),"",IFERROR(MAX(_xlfn.MODE.MULT(IF(($A$4:$A$129=A66)*($B$4:$B$129=B66)*($C$4:$C$129=C66)*($J$4:$J$129=J66)*($E$4:$E$129=E66),$O$4:$O$129))),O66))</f>
        <v>87.82</v>
      </c>
      <c r="Q66" s="12">
        <f t="shared" si="79"/>
        <v>87.82</v>
      </c>
      <c r="R66" s="12">
        <f t="shared" si="80"/>
        <v>87.82</v>
      </c>
      <c r="S66" s="12">
        <f t="shared" si="81"/>
        <v>95.02</v>
      </c>
      <c r="T66" s="14"/>
      <c r="U66" s="12">
        <f t="shared" si="82"/>
        <v>95.02</v>
      </c>
      <c r="V66" s="12">
        <f t="shared" si="83"/>
        <v>95.02</v>
      </c>
      <c r="W66" s="12" t="str">
        <f t="shared" si="84"/>
        <v/>
      </c>
      <c r="X66" s="12" t="str">
        <f t="array" ref="X66">IF(OR(J66=2019,K66&lt;&gt;"include"),"",IFERROR(MAX(_xlfn.MODE.MULT(IF(($A$4:$A$129=A66)*($B$4:$B$129=B66)*($C$4:$C$129=C66)*($E$4:$E$129=E66),$U$4:$U$129))),U66))</f>
        <v/>
      </c>
      <c r="Y66" s="12" t="str">
        <f t="shared" si="85"/>
        <v/>
      </c>
      <c r="Z66" s="12" t="str">
        <f t="shared" si="86"/>
        <v/>
      </c>
      <c r="AA66" s="12" t="str">
        <f t="shared" si="87"/>
        <v/>
      </c>
      <c r="AB66" s="12" t="str">
        <f t="shared" si="88"/>
        <v/>
      </c>
      <c r="AC66" s="12">
        <f t="shared" si="89"/>
        <v>2185.46</v>
      </c>
    </row>
    <row r="67" spans="1:29" x14ac:dyDescent="0.2">
      <c r="A67" s="3" t="s">
        <v>50</v>
      </c>
      <c r="B67" s="3" t="s">
        <v>51</v>
      </c>
      <c r="C67" s="3" t="s">
        <v>52</v>
      </c>
      <c r="D67" s="3" t="s">
        <v>35</v>
      </c>
      <c r="E67" s="3" t="s">
        <v>38</v>
      </c>
      <c r="F67" s="9">
        <v>43770</v>
      </c>
      <c r="G67" s="3">
        <v>1</v>
      </c>
      <c r="H67" s="3">
        <v>1668.58</v>
      </c>
      <c r="I67" s="3">
        <v>19</v>
      </c>
      <c r="J67" s="10">
        <f t="shared" si="77"/>
        <v>2019</v>
      </c>
      <c r="K67" s="3" t="str" cm="1">
        <f t="array" ref="K67">IF(I67="","no unit",IF(I67=0,"0 unit",IF(H67/I67=1,"$1 rate",IF(AND(MAX(IF(($A$4:$A$129=A67)*($B$4:$B$129=B67)*($C$4:$C$129=C67)*($E$4:$E$129=E67),$I$4:$I$129))=1,COUNTIFS($A$4:$A$129,A67,$B$4:$B$129,B67,$C$4:$C$129,C67,$E$4:$E$129,E67,$J$4:$J$129,2019,$H$4:$H$129,MODE(IF(($A$4:$A$129=A67)*($B$4:$B$129=B67)*($C$4:$C$129=C67)*($E$4:$E$129=E67)*($J$4:$J$129=2019),$H$4:$H$129)))&lt;2),"1 unit","include"))))</f>
        <v>include</v>
      </c>
      <c r="L67" s="11">
        <v>8.2000000000000003E-2</v>
      </c>
      <c r="M67" s="4"/>
      <c r="N67" s="4"/>
      <c r="O67" s="13">
        <f t="shared" si="78"/>
        <v>87.82</v>
      </c>
      <c r="P67" s="12">
        <f t="array" ref="P67">IF(OR(J67=2020,K67&lt;&gt;"include"),"",IFERROR(MAX(_xlfn.MODE.MULT(IF(($A$4:$A$129=A67)*($B$4:$B$129=B67)*($C$4:$C$129=C67)*($J$4:$J$129=J67)*($E$4:$E$129=E67),$O$4:$O$129))),O67))</f>
        <v>87.82</v>
      </c>
      <c r="Q67" s="12">
        <f t="shared" si="79"/>
        <v>87.82</v>
      </c>
      <c r="R67" s="12">
        <f t="shared" si="80"/>
        <v>87.82</v>
      </c>
      <c r="S67" s="12">
        <f t="shared" si="81"/>
        <v>95.02</v>
      </c>
      <c r="T67" s="14"/>
      <c r="U67" s="12">
        <f t="shared" si="82"/>
        <v>95.02</v>
      </c>
      <c r="V67" s="12">
        <f t="shared" si="83"/>
        <v>95.02</v>
      </c>
      <c r="W67" s="12" t="str">
        <f t="shared" si="84"/>
        <v/>
      </c>
      <c r="X67" s="12" t="str">
        <f t="array" ref="X67">IF(OR(J67=2019,K67&lt;&gt;"include"),"",IFERROR(MAX(_xlfn.MODE.MULT(IF(($A$4:$A$129=A67)*($B$4:$B$129=B67)*($C$4:$C$129=C67)*($E$4:$E$129=E67),$U$4:$U$129))),U67))</f>
        <v/>
      </c>
      <c r="Y67" s="12" t="str">
        <f t="shared" si="85"/>
        <v/>
      </c>
      <c r="Z67" s="12" t="str">
        <f t="shared" si="86"/>
        <v/>
      </c>
      <c r="AA67" s="12" t="str">
        <f t="shared" si="87"/>
        <v/>
      </c>
      <c r="AB67" s="12" t="str">
        <f t="shared" si="88"/>
        <v/>
      </c>
      <c r="AC67" s="12">
        <f t="shared" si="89"/>
        <v>1805.38</v>
      </c>
    </row>
    <row r="68" spans="1:29" x14ac:dyDescent="0.2">
      <c r="A68" s="3" t="s">
        <v>50</v>
      </c>
      <c r="B68" s="3" t="s">
        <v>51</v>
      </c>
      <c r="C68" s="3" t="s">
        <v>52</v>
      </c>
      <c r="D68" s="3" t="s">
        <v>35</v>
      </c>
      <c r="E68" s="3" t="s">
        <v>38</v>
      </c>
      <c r="F68" s="9">
        <v>43800</v>
      </c>
      <c r="G68" s="3">
        <v>1</v>
      </c>
      <c r="H68" s="3">
        <v>1756.4</v>
      </c>
      <c r="I68" s="3">
        <v>20</v>
      </c>
      <c r="J68" s="10">
        <f t="shared" si="77"/>
        <v>2019</v>
      </c>
      <c r="K68" s="3" t="str" cm="1">
        <f t="array" ref="K68">IF(I68="","no unit",IF(I68=0,"0 unit",IF(H68/I68=1,"$1 rate",IF(AND(MAX(IF(($A$4:$A$129=A68)*($B$4:$B$129=B68)*($C$4:$C$129=C68)*($E$4:$E$129=E68),$I$4:$I$129))=1,COUNTIFS($A$4:$A$129,A68,$B$4:$B$129,B68,$C$4:$C$129,C68,$E$4:$E$129,E68,$J$4:$J$129,2019,$H$4:$H$129,MODE(IF(($A$4:$A$129=A68)*($B$4:$B$129=B68)*($C$4:$C$129=C68)*($E$4:$E$129=E68)*($J$4:$J$129=2019),$H$4:$H$129)))&lt;2),"1 unit","include"))))</f>
        <v>include</v>
      </c>
      <c r="L68" s="11">
        <v>8.2000000000000003E-2</v>
      </c>
      <c r="M68" s="4"/>
      <c r="N68" s="4"/>
      <c r="O68" s="13">
        <f t="shared" si="78"/>
        <v>87.82</v>
      </c>
      <c r="P68" s="12">
        <f t="array" ref="P68">IF(OR(J68=2020,K68&lt;&gt;"include"),"",IFERROR(MAX(_xlfn.MODE.MULT(IF(($A$4:$A$129=A68)*($B$4:$B$129=B68)*($C$4:$C$129=C68)*($J$4:$J$129=J68)*($E$4:$E$129=E68),$O$4:$O$129))),O68))</f>
        <v>87.82</v>
      </c>
      <c r="Q68" s="12">
        <f t="shared" si="79"/>
        <v>87.82</v>
      </c>
      <c r="R68" s="12">
        <f t="shared" si="80"/>
        <v>87.82</v>
      </c>
      <c r="S68" s="12">
        <f t="shared" si="81"/>
        <v>95.02</v>
      </c>
      <c r="T68" s="14"/>
      <c r="U68" s="12">
        <f t="shared" si="82"/>
        <v>95.02</v>
      </c>
      <c r="V68" s="12">
        <f t="shared" si="83"/>
        <v>95.02</v>
      </c>
      <c r="W68" s="12" t="str">
        <f t="shared" si="84"/>
        <v/>
      </c>
      <c r="X68" s="12" t="str">
        <f t="array" ref="X68">IF(OR(J68=2019,K68&lt;&gt;"include"),"",IFERROR(MAX(_xlfn.MODE.MULT(IF(($A$4:$A$129=A68)*($B$4:$B$129=B68)*($C$4:$C$129=C68)*($E$4:$E$129=E68),$U$4:$U$129))),U68))</f>
        <v/>
      </c>
      <c r="Y68" s="12" t="str">
        <f t="shared" si="85"/>
        <v/>
      </c>
      <c r="Z68" s="12" t="str">
        <f t="shared" si="86"/>
        <v/>
      </c>
      <c r="AA68" s="12" t="str">
        <f t="shared" si="87"/>
        <v/>
      </c>
      <c r="AB68" s="12" t="str">
        <f t="shared" si="88"/>
        <v/>
      </c>
      <c r="AC68" s="12">
        <f t="shared" si="89"/>
        <v>1900.4</v>
      </c>
    </row>
    <row r="69" spans="1:29" x14ac:dyDescent="0.2">
      <c r="A69" s="3" t="s">
        <v>50</v>
      </c>
      <c r="B69" s="3" t="s">
        <v>51</v>
      </c>
      <c r="C69" s="3" t="s">
        <v>52</v>
      </c>
      <c r="D69" s="3" t="s">
        <v>35</v>
      </c>
      <c r="E69" s="3" t="s">
        <v>38</v>
      </c>
      <c r="F69" s="9">
        <v>43831</v>
      </c>
      <c r="G69" s="3">
        <v>1</v>
      </c>
      <c r="H69" s="3">
        <v>1756.4</v>
      </c>
      <c r="I69" s="3">
        <v>20</v>
      </c>
      <c r="J69" s="10">
        <f t="shared" si="77"/>
        <v>2020</v>
      </c>
      <c r="K69" s="3" t="str" cm="1">
        <f t="array" ref="K69">IF(I69="","no unit",IF(I69=0,"0 unit",IF(H69/I69=1,"$1 rate",IF(AND(MAX(IF(($A$4:$A$129=A69)*($B$4:$B$129=B69)*($C$4:$C$129=C69)*($E$4:$E$129=E69),$I$4:$I$129))=1,COUNTIFS($A$4:$A$129,A69,$B$4:$B$129,B69,$C$4:$C$129,C69,$E$4:$E$129,E69,$J$4:$J$129,2019,$H$4:$H$129,MODE(IF(($A$4:$A$129=A69)*($B$4:$B$129=B69)*($C$4:$C$129=C69)*($E$4:$E$129=E69)*($J$4:$J$129=2019),$H$4:$H$129)))&lt;2),"1 unit","include"))))</f>
        <v>include</v>
      </c>
      <c r="L69" s="11">
        <v>8.2000000000000003E-2</v>
      </c>
      <c r="M69" s="4"/>
      <c r="N69" s="4"/>
      <c r="O69" s="13" t="str">
        <f t="shared" si="78"/>
        <v/>
      </c>
      <c r="P69" s="12" t="str">
        <f t="array" ref="P69">IF(OR(J69=2020,K69&lt;&gt;"include"),"",IFERROR(MAX(_xlfn.MODE.MULT(IF(($A$4:$A$129=A69)*($B$4:$B$129=B69)*($C$4:$C$129=C69)*($J$4:$J$129=J69)*($E$4:$E$129=E69),$O$4:$O$129))),O69))</f>
        <v/>
      </c>
      <c r="Q69" s="12" t="str">
        <f t="shared" si="79"/>
        <v/>
      </c>
      <c r="R69" s="12" t="str">
        <f t="shared" si="80"/>
        <v/>
      </c>
      <c r="S69" s="12" t="str">
        <f t="shared" si="81"/>
        <v/>
      </c>
      <c r="T69" s="14"/>
      <c r="U69" s="12" t="str">
        <f t="shared" si="82"/>
        <v/>
      </c>
      <c r="V69" s="12" t="str">
        <f t="shared" si="83"/>
        <v/>
      </c>
      <c r="W69" s="12">
        <f t="shared" si="84"/>
        <v>87.82</v>
      </c>
      <c r="X69" s="12" cm="1">
        <f t="array" ref="X69">IF(OR(J69=2019,K69&lt;&gt;"include"),"",IFERROR(MAX(_xlfn.MODE.MULT(IF(($A$4:$A$129=A69)*($B$4:$B$129=B69)*($C$4:$C$129=C69)*($E$4:$E$129=E69),$U$4:$U$129))),U69))</f>
        <v>95.02</v>
      </c>
      <c r="Y69" s="12">
        <f t="shared" si="85"/>
        <v>95.02</v>
      </c>
      <c r="Z69" s="12">
        <f t="shared" si="86"/>
        <v>95.02</v>
      </c>
      <c r="AA69" s="12" t="str">
        <f t="shared" si="87"/>
        <v/>
      </c>
      <c r="AB69" s="12" t="str">
        <f t="shared" si="88"/>
        <v/>
      </c>
      <c r="AC69" s="12">
        <f t="shared" si="89"/>
        <v>1900.4</v>
      </c>
    </row>
    <row r="70" spans="1:29" x14ac:dyDescent="0.2">
      <c r="A70" s="3" t="s">
        <v>50</v>
      </c>
      <c r="B70" s="3" t="s">
        <v>51</v>
      </c>
      <c r="C70" s="3" t="s">
        <v>52</v>
      </c>
      <c r="D70" s="3" t="s">
        <v>35</v>
      </c>
      <c r="E70" s="3" t="s">
        <v>38</v>
      </c>
      <c r="F70" s="9">
        <v>43862</v>
      </c>
      <c r="G70" s="3">
        <v>1</v>
      </c>
      <c r="H70" s="3">
        <v>1580.76</v>
      </c>
      <c r="I70" s="3">
        <v>18</v>
      </c>
      <c r="J70" s="10">
        <f t="shared" si="77"/>
        <v>2020</v>
      </c>
      <c r="K70" s="3" t="str" cm="1">
        <f t="array" ref="K70">IF(I70="","no unit",IF(I70=0,"0 unit",IF(H70/I70=1,"$1 rate",IF(AND(MAX(IF(($A$4:$A$129=A70)*($B$4:$B$129=B70)*($C$4:$C$129=C70)*($E$4:$E$129=E70),$I$4:$I$129))=1,COUNTIFS($A$4:$A$129,A70,$B$4:$B$129,B70,$C$4:$C$129,C70,$E$4:$E$129,E70,$J$4:$J$129,2019,$H$4:$H$129,MODE(IF(($A$4:$A$129=A70)*($B$4:$B$129=B70)*($C$4:$C$129=C70)*($E$4:$E$129=E70)*($J$4:$J$129=2019),$H$4:$H$129)))&lt;2),"1 unit","include"))))</f>
        <v>include</v>
      </c>
      <c r="L70" s="11">
        <v>8.2000000000000003E-2</v>
      </c>
      <c r="M70" s="4"/>
      <c r="N70" s="4"/>
      <c r="O70" s="13" t="str">
        <f t="shared" si="78"/>
        <v/>
      </c>
      <c r="P70" s="12" t="str">
        <f t="array" ref="P70">IF(OR(J70=2020,K70&lt;&gt;"include"),"",IFERROR(MAX(_xlfn.MODE.MULT(IF(($A$4:$A$129=A70)*($B$4:$B$129=B70)*($C$4:$C$129=C70)*($J$4:$J$129=J70)*($E$4:$E$129=E70),$O$4:$O$129))),O70))</f>
        <v/>
      </c>
      <c r="Q70" s="12" t="str">
        <f t="shared" si="79"/>
        <v/>
      </c>
      <c r="R70" s="12" t="str">
        <f t="shared" si="80"/>
        <v/>
      </c>
      <c r="S70" s="12" t="str">
        <f t="shared" si="81"/>
        <v/>
      </c>
      <c r="T70" s="14"/>
      <c r="U70" s="12" t="str">
        <f t="shared" si="82"/>
        <v/>
      </c>
      <c r="V70" s="12" t="str">
        <f t="shared" si="83"/>
        <v/>
      </c>
      <c r="W70" s="12">
        <f t="shared" si="84"/>
        <v>87.82</v>
      </c>
      <c r="X70" s="12">
        <f t="array" ref="X70">IF(OR(J70=2019,K70&lt;&gt;"include"),"",IFERROR(MAX(_xlfn.MODE.MULT(IF(($A$4:$A$129=A70)*($B$4:$B$129=B70)*($C$4:$C$129=C70)*($E$4:$E$129=E70),$U$4:$U$129))),U70))</f>
        <v>95.02</v>
      </c>
      <c r="Y70" s="12">
        <f t="shared" si="85"/>
        <v>95.02</v>
      </c>
      <c r="Z70" s="12">
        <f t="shared" si="86"/>
        <v>95.02</v>
      </c>
      <c r="AA70" s="12" t="str">
        <f t="shared" si="87"/>
        <v/>
      </c>
      <c r="AB70" s="12" t="str">
        <f t="shared" si="88"/>
        <v/>
      </c>
      <c r="AC70" s="12">
        <f t="shared" si="89"/>
        <v>1710.36</v>
      </c>
    </row>
    <row r="71" spans="1:29" x14ac:dyDescent="0.2">
      <c r="F71" s="9"/>
      <c r="L71" s="11"/>
      <c r="M71" s="12"/>
      <c r="N71" s="12"/>
      <c r="O71" s="13"/>
      <c r="P71" s="12"/>
      <c r="Q71" s="12"/>
      <c r="R71" s="12"/>
      <c r="S71" s="12"/>
      <c r="T71" s="14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13.5" x14ac:dyDescent="0.25">
      <c r="A72" s="16" t="s">
        <v>62</v>
      </c>
      <c r="O72" s="17" t="s">
        <v>65</v>
      </c>
    </row>
    <row r="73" spans="1:29" x14ac:dyDescent="0.2">
      <c r="A73" s="3" t="s">
        <v>39</v>
      </c>
      <c r="B73" s="3" t="s">
        <v>41</v>
      </c>
      <c r="C73" s="3" t="s">
        <v>40</v>
      </c>
      <c r="D73" s="3" t="s">
        <v>35</v>
      </c>
      <c r="E73" s="3" t="s">
        <v>38</v>
      </c>
      <c r="F73" s="9">
        <v>43525</v>
      </c>
      <c r="G73" s="3">
        <v>1</v>
      </c>
      <c r="H73" s="3">
        <v>3306.7</v>
      </c>
      <c r="I73" s="3">
        <v>10</v>
      </c>
      <c r="J73" s="10">
        <f t="shared" ref="J73:J84" si="90">YEAR(F73)</f>
        <v>2019</v>
      </c>
      <c r="K73" s="3" t="str" cm="1">
        <f t="array" ref="K73">IF(I73="","no unit",IF(I73=0,"0 unit",IF(H73/I73=1,"$1 rate",IF(AND(MAX(IF(($A$4:$A$129=A73)*($B$4:$B$129=B73)*($C$4:$C$129=C73)*($E$4:$E$129=E73),$I$4:$I$129))=1,COUNTIFS($A$4:$A$129,A73,$B$4:$B$129,B73,$C$4:$C$129,C73,$E$4:$E$129,E73,$J$4:$J$129,2019,$H$4:$H$129,MODE(IF(($A$4:$A$129=A73)*($B$4:$B$129=B73)*($C$4:$C$129=C73)*($E$4:$E$129=E73)*($J$4:$J$129=2019),$H$4:$H$129)))&lt;2),"1 unit","include"))))</f>
        <v>include</v>
      </c>
      <c r="L73" s="11">
        <v>8.2000000000000003E-2</v>
      </c>
      <c r="M73" s="4">
        <v>5</v>
      </c>
      <c r="N73" s="4">
        <v>335.67</v>
      </c>
      <c r="O73" s="13">
        <f t="shared" ref="O73:O84" si="91">IF(AND(J73=2019,K73="include"),IFERROR(ROUND(H73/I73,2),""),"")</f>
        <v>330.67</v>
      </c>
      <c r="P73" s="12">
        <f t="array" ref="P73">IF(OR(J73=2020,K73&lt;&gt;"include"),"",IFERROR(MAX(_xlfn.MODE.MULT(IF(($A$4:$A$129=A73)*($B$4:$B$129=B73)*($C$4:$C$129=C73)*($J$4:$J$129=J73)*($E$4:$E$129=E73),$O$4:$O$129))),O73))</f>
        <v>335.67</v>
      </c>
      <c r="Q73" s="12">
        <f t="shared" ref="Q73:Q84" si="92">IF(OR(J73=2020,K73&lt;&gt;"include"),"",IF(AND(O73&lt;=P73,O73&gt;=P73*0.2),P73,O73))</f>
        <v>335.67</v>
      </c>
      <c r="R73" s="12">
        <f t="shared" ref="R73:R84" si="93">IF(OR(J73=2020,K73&lt;&gt;"include"),"",IF(Q73&gt;=ROUND(MAX(0,N73)/(1+L73),2),MAX(ROUND(MAX(0,N73)/(1+L73),2),Q73-MAX(0,M73)),Q73))</f>
        <v>330.67</v>
      </c>
      <c r="S73" s="12">
        <f t="shared" ref="S73:S84" si="94">IFERROR(IF(OR(J73=2020,K73&lt;&gt;"include"),"",IF(Q73&lt;P73*0.2,ROUND(Q73*(1+L73),2),IF(R73&lt;MAX(0,N73)*0.8,ROUND(R73*(1+L73),2),ROUND(R73*(1+L73),2)+MAX(0,M73)))),"")</f>
        <v>362.78</v>
      </c>
      <c r="T73" s="14"/>
      <c r="U73" s="12">
        <f t="shared" ref="U73:U84" si="95">IFERROR(IF(AND(J73=2019,T73=""),S73,IF(J73=2020,"",IF(AND(S73/T73&gt;0.2,S73/T73&lt;=1),T73,S73))),"")</f>
        <v>362.78</v>
      </c>
      <c r="V73" s="12">
        <f t="shared" ref="V73:V84" si="96">IF(OR(J73=2020,K73&lt;&gt;"include"),"",IF(Q73&lt;P73*0.2,U73,IF(R73&lt;MAX(0,N73)*0.8,U73,U73-MAX(0,M73))))</f>
        <v>357.78</v>
      </c>
      <c r="W73" s="12" t="str">
        <f t="shared" ref="W73:W84" si="97">IF(AND(J73=2020,K73="include"),IFERROR(ROUND(H73/I73,2),""),"")</f>
        <v/>
      </c>
      <c r="X73" s="12" t="str">
        <f t="array" ref="X73">IF(OR(J73=2019,K73&lt;&gt;"include"),"",IFERROR(MAX(_xlfn.MODE.MULT(IF(($A$4:$A$129=A73)*($B$4:$B$129=B73)*($C$4:$C$129=C73)*($E$4:$E$129=E73),$U$4:$U$129))),U73))</f>
        <v/>
      </c>
      <c r="Y73" s="12" t="str">
        <f t="shared" ref="Y73:Y84" si="98">IF(OR(J73=2019,K73&lt;&gt;"include"),"",IFERROR(IF(AND(W73/X73&gt;0.2,W73/X73&lt;=1),X73,W73),W73))</f>
        <v/>
      </c>
      <c r="Z73" s="12" t="str">
        <f t="shared" ref="Z73:Z84" si="99">IF(OR(J73=2019,K73&lt;&gt;"include"),"",IFERROR(IF(W73&lt;X73*0.2,W73,IF(Y73&lt;MAX(0,N73)*0.8,Y73,Y73-MAX(0,M73))),Y73-MAX(0,M73)))</f>
        <v/>
      </c>
      <c r="AA73" s="12" t="str">
        <f t="shared" ref="AA73:AA84" si="100">IF(OR(J73=2020,K73="include"),"",ROUND(H73*(1+L73),2))</f>
        <v/>
      </c>
      <c r="AB73" s="12" t="str">
        <f t="shared" ref="AB73:AB84" si="101">IF(OR(J73=2019,K73="include"),"",H73)</f>
        <v/>
      </c>
      <c r="AC73" s="12">
        <f t="shared" ref="AC73:AC84" si="102">IF(AND(J73=2019,K73="include"),ROUND(I73*V73,2),IF(AND(J73=2020,K73="include"),ROUND(I73*Z73,2),IF(AND(J73=2019,K73&lt;&gt;"include"),AA73,AB73)))</f>
        <v>3577.8</v>
      </c>
    </row>
    <row r="74" spans="1:29" x14ac:dyDescent="0.2">
      <c r="A74" s="3" t="s">
        <v>39</v>
      </c>
      <c r="B74" s="3" t="s">
        <v>41</v>
      </c>
      <c r="C74" s="3" t="s">
        <v>40</v>
      </c>
      <c r="D74" s="3" t="s">
        <v>35</v>
      </c>
      <c r="E74" s="3" t="s">
        <v>38</v>
      </c>
      <c r="F74" s="9">
        <v>43556</v>
      </c>
      <c r="G74" s="3">
        <v>1</v>
      </c>
      <c r="H74" s="3">
        <v>3306.7</v>
      </c>
      <c r="I74" s="3">
        <v>10</v>
      </c>
      <c r="J74" s="10">
        <f t="shared" si="90"/>
        <v>2019</v>
      </c>
      <c r="K74" s="3" t="str" cm="1">
        <f t="array" ref="K74">IF(I74="","no unit",IF(I74=0,"0 unit",IF(H74/I74=1,"$1 rate",IF(AND(MAX(IF(($A$4:$A$129=A74)*($B$4:$B$129=B74)*($C$4:$C$129=C74)*($E$4:$E$129=E74),$I$4:$I$129))=1,COUNTIFS($A$4:$A$129,A74,$B$4:$B$129,B74,$C$4:$C$129,C74,$E$4:$E$129,E74,$J$4:$J$129,2019,$H$4:$H$129,MODE(IF(($A$4:$A$129=A74)*($B$4:$B$129=B74)*($C$4:$C$129=C74)*($E$4:$E$129=E74)*($J$4:$J$129=2019),$H$4:$H$129)))&lt;2),"1 unit","include"))))</f>
        <v>include</v>
      </c>
      <c r="L74" s="11">
        <v>8.2000000000000003E-2</v>
      </c>
      <c r="M74" s="4">
        <v>5</v>
      </c>
      <c r="N74" s="4">
        <v>335.67</v>
      </c>
      <c r="O74" s="13">
        <f t="shared" si="91"/>
        <v>330.67</v>
      </c>
      <c r="P74" s="12">
        <f t="array" ref="P74">IF(OR(J74=2020,K74&lt;&gt;"include"),"",IFERROR(MAX(_xlfn.MODE.MULT(IF(($A$4:$A$129=A74)*($B$4:$B$129=B74)*($C$4:$C$129=C74)*($J$4:$J$129=J74)*($E$4:$E$129=E74),$O$4:$O$129))),O74))</f>
        <v>335.67</v>
      </c>
      <c r="Q74" s="12">
        <f t="shared" si="92"/>
        <v>335.67</v>
      </c>
      <c r="R74" s="12">
        <f t="shared" si="93"/>
        <v>330.67</v>
      </c>
      <c r="S74" s="12">
        <f t="shared" si="94"/>
        <v>362.78</v>
      </c>
      <c r="T74" s="14"/>
      <c r="U74" s="12">
        <f t="shared" si="95"/>
        <v>362.78</v>
      </c>
      <c r="V74" s="12">
        <f t="shared" si="96"/>
        <v>357.78</v>
      </c>
      <c r="W74" s="12" t="str">
        <f t="shared" si="97"/>
        <v/>
      </c>
      <c r="X74" s="12" t="str">
        <f t="array" ref="X74">IF(OR(J74=2019,K74&lt;&gt;"include"),"",IFERROR(MAX(_xlfn.MODE.MULT(IF(($A$4:$A$129=A74)*($B$4:$B$129=B74)*($C$4:$C$129=C74)*($E$4:$E$129=E74),$U$4:$U$129))),U74))</f>
        <v/>
      </c>
      <c r="Y74" s="12" t="str">
        <f t="shared" si="98"/>
        <v/>
      </c>
      <c r="Z74" s="12" t="str">
        <f t="shared" si="99"/>
        <v/>
      </c>
      <c r="AA74" s="12" t="str">
        <f t="shared" si="100"/>
        <v/>
      </c>
      <c r="AB74" s="12" t="str">
        <f t="shared" si="101"/>
        <v/>
      </c>
      <c r="AC74" s="12">
        <f t="shared" si="102"/>
        <v>3577.8</v>
      </c>
    </row>
    <row r="75" spans="1:29" x14ac:dyDescent="0.2">
      <c r="A75" s="3" t="s">
        <v>39</v>
      </c>
      <c r="B75" s="3" t="s">
        <v>41</v>
      </c>
      <c r="C75" s="3" t="s">
        <v>40</v>
      </c>
      <c r="D75" s="3" t="s">
        <v>35</v>
      </c>
      <c r="E75" s="3" t="s">
        <v>38</v>
      </c>
      <c r="F75" s="9">
        <v>43586</v>
      </c>
      <c r="G75" s="3">
        <v>1</v>
      </c>
      <c r="H75" s="3">
        <v>3356.7</v>
      </c>
      <c r="I75" s="3">
        <v>10</v>
      </c>
      <c r="J75" s="10">
        <f t="shared" si="90"/>
        <v>2019</v>
      </c>
      <c r="K75" s="3" t="str" cm="1">
        <f t="array" ref="K75">IF(I75="","no unit",IF(I75=0,"0 unit",IF(H75/I75=1,"$1 rate",IF(AND(MAX(IF(($A$4:$A$129=A75)*($B$4:$B$129=B75)*($C$4:$C$129=C75)*($E$4:$E$129=E75),$I$4:$I$129))=1,COUNTIFS($A$4:$A$129,A75,$B$4:$B$129,B75,$C$4:$C$129,C75,$E$4:$E$129,E75,$J$4:$J$129,2019,$H$4:$H$129,MODE(IF(($A$4:$A$129=A75)*($B$4:$B$129=B75)*($C$4:$C$129=C75)*($E$4:$E$129=E75)*($J$4:$J$129=2019),$H$4:$H$129)))&lt;2),"1 unit","include"))))</f>
        <v>include</v>
      </c>
      <c r="L75" s="11">
        <v>8.2000000000000003E-2</v>
      </c>
      <c r="M75" s="4">
        <v>5</v>
      </c>
      <c r="N75" s="4">
        <v>335.67</v>
      </c>
      <c r="O75" s="13">
        <f t="shared" si="91"/>
        <v>335.67</v>
      </c>
      <c r="P75" s="12">
        <f t="array" ref="P75">IF(OR(J75=2020,K75&lt;&gt;"include"),"",IFERROR(MAX(_xlfn.MODE.MULT(IF(($A$4:$A$129=A75)*($B$4:$B$129=B75)*($C$4:$C$129=C75)*($J$4:$J$129=J75)*($E$4:$E$129=E75),$O$4:$O$129))),O75))</f>
        <v>335.67</v>
      </c>
      <c r="Q75" s="12">
        <f t="shared" si="92"/>
        <v>335.67</v>
      </c>
      <c r="R75" s="12">
        <f t="shared" si="93"/>
        <v>330.67</v>
      </c>
      <c r="S75" s="12">
        <f t="shared" si="94"/>
        <v>362.78</v>
      </c>
      <c r="T75" s="14"/>
      <c r="U75" s="12">
        <f t="shared" si="95"/>
        <v>362.78</v>
      </c>
      <c r="V75" s="12">
        <f t="shared" si="96"/>
        <v>357.78</v>
      </c>
      <c r="W75" s="12" t="str">
        <f t="shared" si="97"/>
        <v/>
      </c>
      <c r="X75" s="12" t="str">
        <f t="array" ref="X75">IF(OR(J75=2019,K75&lt;&gt;"include"),"",IFERROR(MAX(_xlfn.MODE.MULT(IF(($A$4:$A$129=A75)*($B$4:$B$129=B75)*($C$4:$C$129=C75)*($E$4:$E$129=E75),$U$4:$U$129))),U75))</f>
        <v/>
      </c>
      <c r="Y75" s="12" t="str">
        <f t="shared" si="98"/>
        <v/>
      </c>
      <c r="Z75" s="12" t="str">
        <f t="shared" si="99"/>
        <v/>
      </c>
      <c r="AA75" s="12" t="str">
        <f t="shared" si="100"/>
        <v/>
      </c>
      <c r="AB75" s="12" t="str">
        <f t="shared" si="101"/>
        <v/>
      </c>
      <c r="AC75" s="12">
        <f t="shared" si="102"/>
        <v>3577.8</v>
      </c>
    </row>
    <row r="76" spans="1:29" x14ac:dyDescent="0.2">
      <c r="A76" s="3" t="s">
        <v>39</v>
      </c>
      <c r="B76" s="3" t="s">
        <v>41</v>
      </c>
      <c r="C76" s="3" t="s">
        <v>40</v>
      </c>
      <c r="D76" s="3" t="s">
        <v>35</v>
      </c>
      <c r="E76" s="3" t="s">
        <v>38</v>
      </c>
      <c r="F76" s="9">
        <v>43617</v>
      </c>
      <c r="G76" s="3">
        <v>1</v>
      </c>
      <c r="H76" s="3">
        <v>3356.7</v>
      </c>
      <c r="I76" s="3">
        <v>10</v>
      </c>
      <c r="J76" s="10">
        <f t="shared" si="90"/>
        <v>2019</v>
      </c>
      <c r="K76" s="3" t="str" cm="1">
        <f t="array" ref="K76">IF(I76="","no unit",IF(I76=0,"0 unit",IF(H76/I76=1,"$1 rate",IF(AND(MAX(IF(($A$4:$A$129=A76)*($B$4:$B$129=B76)*($C$4:$C$129=C76)*($E$4:$E$129=E76),$I$4:$I$129))=1,COUNTIFS($A$4:$A$129,A76,$B$4:$B$129,B76,$C$4:$C$129,C76,$E$4:$E$129,E76,$J$4:$J$129,2019,$H$4:$H$129,MODE(IF(($A$4:$A$129=A76)*($B$4:$B$129=B76)*($C$4:$C$129=C76)*($E$4:$E$129=E76)*($J$4:$J$129=2019),$H$4:$H$129)))&lt;2),"1 unit","include"))))</f>
        <v>include</v>
      </c>
      <c r="L76" s="11">
        <v>8.2000000000000003E-2</v>
      </c>
      <c r="M76" s="4">
        <v>5</v>
      </c>
      <c r="N76" s="4">
        <v>335.67</v>
      </c>
      <c r="O76" s="13">
        <f t="shared" si="91"/>
        <v>335.67</v>
      </c>
      <c r="P76" s="12">
        <f t="array" ref="P76">IF(OR(J76=2020,K76&lt;&gt;"include"),"",IFERROR(MAX(_xlfn.MODE.MULT(IF(($A$4:$A$129=A76)*($B$4:$B$129=B76)*($C$4:$C$129=C76)*($J$4:$J$129=J76)*($E$4:$E$129=E76),$O$4:$O$129))),O76))</f>
        <v>335.67</v>
      </c>
      <c r="Q76" s="12">
        <f t="shared" si="92"/>
        <v>335.67</v>
      </c>
      <c r="R76" s="12">
        <f t="shared" si="93"/>
        <v>330.67</v>
      </c>
      <c r="S76" s="12">
        <f t="shared" si="94"/>
        <v>362.78</v>
      </c>
      <c r="T76" s="14"/>
      <c r="U76" s="12">
        <f t="shared" si="95"/>
        <v>362.78</v>
      </c>
      <c r="V76" s="12">
        <f t="shared" si="96"/>
        <v>357.78</v>
      </c>
      <c r="W76" s="12" t="str">
        <f t="shared" si="97"/>
        <v/>
      </c>
      <c r="X76" s="12" t="str">
        <f t="array" ref="X76">IF(OR(J76=2019,K76&lt;&gt;"include"),"",IFERROR(MAX(_xlfn.MODE.MULT(IF(($A$4:$A$129=A76)*($B$4:$B$129=B76)*($C$4:$C$129=C76)*($E$4:$E$129=E76),$U$4:$U$129))),U76))</f>
        <v/>
      </c>
      <c r="Y76" s="12" t="str">
        <f t="shared" si="98"/>
        <v/>
      </c>
      <c r="Z76" s="12" t="str">
        <f t="shared" si="99"/>
        <v/>
      </c>
      <c r="AA76" s="12" t="str">
        <f t="shared" si="100"/>
        <v/>
      </c>
      <c r="AB76" s="12" t="str">
        <f t="shared" si="101"/>
        <v/>
      </c>
      <c r="AC76" s="12">
        <f t="shared" si="102"/>
        <v>3577.8</v>
      </c>
    </row>
    <row r="77" spans="1:29" x14ac:dyDescent="0.2">
      <c r="A77" s="3" t="s">
        <v>39</v>
      </c>
      <c r="B77" s="3" t="s">
        <v>41</v>
      </c>
      <c r="C77" s="3" t="s">
        <v>40</v>
      </c>
      <c r="D77" s="3" t="s">
        <v>35</v>
      </c>
      <c r="E77" s="3" t="s">
        <v>38</v>
      </c>
      <c r="F77" s="9">
        <v>43647</v>
      </c>
      <c r="G77" s="3">
        <v>1</v>
      </c>
      <c r="H77" s="3">
        <v>3356.7</v>
      </c>
      <c r="I77" s="3">
        <v>10</v>
      </c>
      <c r="J77" s="10">
        <f t="shared" si="90"/>
        <v>2019</v>
      </c>
      <c r="K77" s="3" t="str" cm="1">
        <f t="array" ref="K77">IF(I77="","no unit",IF(I77=0,"0 unit",IF(H77/I77=1,"$1 rate",IF(AND(MAX(IF(($A$4:$A$129=A77)*($B$4:$B$129=B77)*($C$4:$C$129=C77)*($E$4:$E$129=E77),$I$4:$I$129))=1,COUNTIFS($A$4:$A$129,A77,$B$4:$B$129,B77,$C$4:$C$129,C77,$E$4:$E$129,E77,$J$4:$J$129,2019,$H$4:$H$129,MODE(IF(($A$4:$A$129=A77)*($B$4:$B$129=B77)*($C$4:$C$129=C77)*($E$4:$E$129=E77)*($J$4:$J$129=2019),$H$4:$H$129)))&lt;2),"1 unit","include"))))</f>
        <v>include</v>
      </c>
      <c r="L77" s="11">
        <v>8.2000000000000003E-2</v>
      </c>
      <c r="M77" s="4">
        <v>5</v>
      </c>
      <c r="N77" s="4">
        <v>335.67</v>
      </c>
      <c r="O77" s="13">
        <f t="shared" si="91"/>
        <v>335.67</v>
      </c>
      <c r="P77" s="12">
        <f t="array" ref="P77">IF(OR(J77=2020,K77&lt;&gt;"include"),"",IFERROR(MAX(_xlfn.MODE.MULT(IF(($A$4:$A$129=A77)*($B$4:$B$129=B77)*($C$4:$C$129=C77)*($J$4:$J$129=J77)*($E$4:$E$129=E77),$O$4:$O$129))),O77))</f>
        <v>335.67</v>
      </c>
      <c r="Q77" s="12">
        <f t="shared" si="92"/>
        <v>335.67</v>
      </c>
      <c r="R77" s="12">
        <f t="shared" si="93"/>
        <v>330.67</v>
      </c>
      <c r="S77" s="12">
        <f t="shared" si="94"/>
        <v>362.78</v>
      </c>
      <c r="T77" s="14"/>
      <c r="U77" s="12">
        <f t="shared" si="95"/>
        <v>362.78</v>
      </c>
      <c r="V77" s="12">
        <f t="shared" si="96"/>
        <v>357.78</v>
      </c>
      <c r="W77" s="12" t="str">
        <f t="shared" si="97"/>
        <v/>
      </c>
      <c r="X77" s="12" t="str">
        <f t="array" ref="X77">IF(OR(J77=2019,K77&lt;&gt;"include"),"",IFERROR(MAX(_xlfn.MODE.MULT(IF(($A$4:$A$129=A77)*($B$4:$B$129=B77)*($C$4:$C$129=C77)*($E$4:$E$129=E77),$U$4:$U$129))),U77))</f>
        <v/>
      </c>
      <c r="Y77" s="12" t="str">
        <f t="shared" si="98"/>
        <v/>
      </c>
      <c r="Z77" s="12" t="str">
        <f t="shared" si="99"/>
        <v/>
      </c>
      <c r="AA77" s="12" t="str">
        <f t="shared" si="100"/>
        <v/>
      </c>
      <c r="AB77" s="12" t="str">
        <f t="shared" si="101"/>
        <v/>
      </c>
      <c r="AC77" s="12">
        <f t="shared" si="102"/>
        <v>3577.8</v>
      </c>
    </row>
    <row r="78" spans="1:29" x14ac:dyDescent="0.2">
      <c r="A78" s="3" t="s">
        <v>39</v>
      </c>
      <c r="B78" s="3" t="s">
        <v>41</v>
      </c>
      <c r="C78" s="3" t="s">
        <v>40</v>
      </c>
      <c r="D78" s="3" t="s">
        <v>35</v>
      </c>
      <c r="E78" s="3" t="s">
        <v>38</v>
      </c>
      <c r="F78" s="9">
        <v>43678</v>
      </c>
      <c r="G78" s="3">
        <v>1</v>
      </c>
      <c r="H78" s="3">
        <v>3356.7</v>
      </c>
      <c r="I78" s="3">
        <v>10</v>
      </c>
      <c r="J78" s="10">
        <f t="shared" si="90"/>
        <v>2019</v>
      </c>
      <c r="K78" s="3" t="str" cm="1">
        <f t="array" ref="K78">IF(I78="","no unit",IF(I78=0,"0 unit",IF(H78/I78=1,"$1 rate",IF(AND(MAX(IF(($A$4:$A$129=A78)*($B$4:$B$129=B78)*($C$4:$C$129=C78)*($E$4:$E$129=E78),$I$4:$I$129))=1,COUNTIFS($A$4:$A$129,A78,$B$4:$B$129,B78,$C$4:$C$129,C78,$E$4:$E$129,E78,$J$4:$J$129,2019,$H$4:$H$129,MODE(IF(($A$4:$A$129=A78)*($B$4:$B$129=B78)*($C$4:$C$129=C78)*($E$4:$E$129=E78)*($J$4:$J$129=2019),$H$4:$H$129)))&lt;2),"1 unit","include"))))</f>
        <v>include</v>
      </c>
      <c r="L78" s="11">
        <v>8.2000000000000003E-2</v>
      </c>
      <c r="M78" s="4">
        <v>5</v>
      </c>
      <c r="N78" s="4">
        <v>335.67</v>
      </c>
      <c r="O78" s="13">
        <f t="shared" si="91"/>
        <v>335.67</v>
      </c>
      <c r="P78" s="12">
        <f t="array" ref="P78">IF(OR(J78=2020,K78&lt;&gt;"include"),"",IFERROR(MAX(_xlfn.MODE.MULT(IF(($A$4:$A$129=A78)*($B$4:$B$129=B78)*($C$4:$C$129=C78)*($J$4:$J$129=J78)*($E$4:$E$129=E78),$O$4:$O$129))),O78))</f>
        <v>335.67</v>
      </c>
      <c r="Q78" s="12">
        <f t="shared" si="92"/>
        <v>335.67</v>
      </c>
      <c r="R78" s="12">
        <f t="shared" si="93"/>
        <v>330.67</v>
      </c>
      <c r="S78" s="12">
        <f t="shared" si="94"/>
        <v>362.78</v>
      </c>
      <c r="T78" s="14"/>
      <c r="U78" s="12">
        <f t="shared" si="95"/>
        <v>362.78</v>
      </c>
      <c r="V78" s="12">
        <f t="shared" si="96"/>
        <v>357.78</v>
      </c>
      <c r="W78" s="12" t="str">
        <f t="shared" si="97"/>
        <v/>
      </c>
      <c r="X78" s="12" t="str">
        <f t="array" ref="X78">IF(OR(J78=2019,K78&lt;&gt;"include"),"",IFERROR(MAX(_xlfn.MODE.MULT(IF(($A$4:$A$129=A78)*($B$4:$B$129=B78)*($C$4:$C$129=C78)*($E$4:$E$129=E78),$U$4:$U$129))),U78))</f>
        <v/>
      </c>
      <c r="Y78" s="12" t="str">
        <f t="shared" si="98"/>
        <v/>
      </c>
      <c r="Z78" s="12" t="str">
        <f t="shared" si="99"/>
        <v/>
      </c>
      <c r="AA78" s="12" t="str">
        <f t="shared" si="100"/>
        <v/>
      </c>
      <c r="AB78" s="12" t="str">
        <f t="shared" si="101"/>
        <v/>
      </c>
      <c r="AC78" s="12">
        <f t="shared" si="102"/>
        <v>3577.8</v>
      </c>
    </row>
    <row r="79" spans="1:29" x14ac:dyDescent="0.2">
      <c r="A79" s="3" t="s">
        <v>39</v>
      </c>
      <c r="B79" s="3" t="s">
        <v>41</v>
      </c>
      <c r="C79" s="3" t="s">
        <v>40</v>
      </c>
      <c r="D79" s="3" t="s">
        <v>35</v>
      </c>
      <c r="E79" s="3" t="s">
        <v>38</v>
      </c>
      <c r="F79" s="9">
        <v>43709</v>
      </c>
      <c r="G79" s="3">
        <v>1</v>
      </c>
      <c r="H79" s="3">
        <v>3356.7</v>
      </c>
      <c r="I79" s="3">
        <v>10</v>
      </c>
      <c r="J79" s="10">
        <f t="shared" si="90"/>
        <v>2019</v>
      </c>
      <c r="K79" s="3" t="str" cm="1">
        <f t="array" ref="K79">IF(I79="","no unit",IF(I79=0,"0 unit",IF(H79/I79=1,"$1 rate",IF(AND(MAX(IF(($A$4:$A$129=A79)*($B$4:$B$129=B79)*($C$4:$C$129=C79)*($E$4:$E$129=E79),$I$4:$I$129))=1,COUNTIFS($A$4:$A$129,A79,$B$4:$B$129,B79,$C$4:$C$129,C79,$E$4:$E$129,E79,$J$4:$J$129,2019,$H$4:$H$129,MODE(IF(($A$4:$A$129=A79)*($B$4:$B$129=B79)*($C$4:$C$129=C79)*($E$4:$E$129=E79)*($J$4:$J$129=2019),$H$4:$H$129)))&lt;2),"1 unit","include"))))</f>
        <v>include</v>
      </c>
      <c r="L79" s="11">
        <v>8.2000000000000003E-2</v>
      </c>
      <c r="M79" s="4">
        <v>5</v>
      </c>
      <c r="N79" s="4">
        <v>335.67</v>
      </c>
      <c r="O79" s="13">
        <f t="shared" si="91"/>
        <v>335.67</v>
      </c>
      <c r="P79" s="12">
        <f t="array" ref="P79">IF(OR(J79=2020,K79&lt;&gt;"include"),"",IFERROR(MAX(_xlfn.MODE.MULT(IF(($A$4:$A$129=A79)*($B$4:$B$129=B79)*($C$4:$C$129=C79)*($J$4:$J$129=J79)*($E$4:$E$129=E79),$O$4:$O$129))),O79))</f>
        <v>335.67</v>
      </c>
      <c r="Q79" s="12">
        <f t="shared" si="92"/>
        <v>335.67</v>
      </c>
      <c r="R79" s="12">
        <f t="shared" si="93"/>
        <v>330.67</v>
      </c>
      <c r="S79" s="12">
        <f t="shared" si="94"/>
        <v>362.78</v>
      </c>
      <c r="T79" s="14"/>
      <c r="U79" s="12">
        <f t="shared" si="95"/>
        <v>362.78</v>
      </c>
      <c r="V79" s="12">
        <f t="shared" si="96"/>
        <v>357.78</v>
      </c>
      <c r="W79" s="12" t="str">
        <f t="shared" si="97"/>
        <v/>
      </c>
      <c r="X79" s="12" t="str">
        <f t="array" ref="X79">IF(OR(J79=2019,K79&lt;&gt;"include"),"",IFERROR(MAX(_xlfn.MODE.MULT(IF(($A$4:$A$129=A79)*($B$4:$B$129=B79)*($C$4:$C$129=C79)*($E$4:$E$129=E79),$U$4:$U$129))),U79))</f>
        <v/>
      </c>
      <c r="Y79" s="12" t="str">
        <f t="shared" si="98"/>
        <v/>
      </c>
      <c r="Z79" s="12" t="str">
        <f t="shared" si="99"/>
        <v/>
      </c>
      <c r="AA79" s="12" t="str">
        <f t="shared" si="100"/>
        <v/>
      </c>
      <c r="AB79" s="12" t="str">
        <f t="shared" si="101"/>
        <v/>
      </c>
      <c r="AC79" s="12">
        <f t="shared" si="102"/>
        <v>3577.8</v>
      </c>
    </row>
    <row r="80" spans="1:29" x14ac:dyDescent="0.2">
      <c r="A80" s="3" t="s">
        <v>39</v>
      </c>
      <c r="B80" s="3" t="s">
        <v>41</v>
      </c>
      <c r="C80" s="3" t="s">
        <v>40</v>
      </c>
      <c r="D80" s="3" t="s">
        <v>35</v>
      </c>
      <c r="E80" s="3" t="s">
        <v>38</v>
      </c>
      <c r="F80" s="9">
        <v>43739</v>
      </c>
      <c r="G80" s="3">
        <v>1</v>
      </c>
      <c r="H80" s="3">
        <v>3356.7</v>
      </c>
      <c r="I80" s="3">
        <v>10</v>
      </c>
      <c r="J80" s="10">
        <f t="shared" si="90"/>
        <v>2019</v>
      </c>
      <c r="K80" s="3" t="str" cm="1">
        <f t="array" ref="K80">IF(I80="","no unit",IF(I80=0,"0 unit",IF(H80/I80=1,"$1 rate",IF(AND(MAX(IF(($A$4:$A$129=A80)*($B$4:$B$129=B80)*($C$4:$C$129=C80)*($E$4:$E$129=E80),$I$4:$I$129))=1,COUNTIFS($A$4:$A$129,A80,$B$4:$B$129,B80,$C$4:$C$129,C80,$E$4:$E$129,E80,$J$4:$J$129,2019,$H$4:$H$129,MODE(IF(($A$4:$A$129=A80)*($B$4:$B$129=B80)*($C$4:$C$129=C80)*($E$4:$E$129=E80)*($J$4:$J$129=2019),$H$4:$H$129)))&lt;2),"1 unit","include"))))</f>
        <v>include</v>
      </c>
      <c r="L80" s="11">
        <v>8.2000000000000003E-2</v>
      </c>
      <c r="M80" s="4">
        <v>5</v>
      </c>
      <c r="N80" s="4">
        <v>335.67</v>
      </c>
      <c r="O80" s="13">
        <f t="shared" si="91"/>
        <v>335.67</v>
      </c>
      <c r="P80" s="12">
        <f t="array" ref="P80">IF(OR(J80=2020,K80&lt;&gt;"include"),"",IFERROR(MAX(_xlfn.MODE.MULT(IF(($A$4:$A$129=A80)*($B$4:$B$129=B80)*($C$4:$C$129=C80)*($J$4:$J$129=J80)*($E$4:$E$129=E80),$O$4:$O$129))),O80))</f>
        <v>335.67</v>
      </c>
      <c r="Q80" s="12">
        <f t="shared" si="92"/>
        <v>335.67</v>
      </c>
      <c r="R80" s="12">
        <f t="shared" si="93"/>
        <v>330.67</v>
      </c>
      <c r="S80" s="12">
        <f t="shared" si="94"/>
        <v>362.78</v>
      </c>
      <c r="T80" s="14"/>
      <c r="U80" s="12">
        <f t="shared" si="95"/>
        <v>362.78</v>
      </c>
      <c r="V80" s="12">
        <f t="shared" si="96"/>
        <v>357.78</v>
      </c>
      <c r="W80" s="12" t="str">
        <f t="shared" si="97"/>
        <v/>
      </c>
      <c r="X80" s="12" t="str">
        <f t="array" ref="X80">IF(OR(J80=2019,K80&lt;&gt;"include"),"",IFERROR(MAX(_xlfn.MODE.MULT(IF(($A$4:$A$129=A80)*($B$4:$B$129=B80)*($C$4:$C$129=C80)*($E$4:$E$129=E80),$U$4:$U$129))),U80))</f>
        <v/>
      </c>
      <c r="Y80" s="12" t="str">
        <f t="shared" si="98"/>
        <v/>
      </c>
      <c r="Z80" s="12" t="str">
        <f t="shared" si="99"/>
        <v/>
      </c>
      <c r="AA80" s="12" t="str">
        <f t="shared" si="100"/>
        <v/>
      </c>
      <c r="AB80" s="12" t="str">
        <f t="shared" si="101"/>
        <v/>
      </c>
      <c r="AC80" s="12">
        <f t="shared" si="102"/>
        <v>3577.8</v>
      </c>
    </row>
    <row r="81" spans="1:29" x14ac:dyDescent="0.2">
      <c r="A81" s="3" t="s">
        <v>39</v>
      </c>
      <c r="B81" s="3" t="s">
        <v>41</v>
      </c>
      <c r="C81" s="3" t="s">
        <v>40</v>
      </c>
      <c r="D81" s="3" t="s">
        <v>35</v>
      </c>
      <c r="E81" s="3" t="s">
        <v>38</v>
      </c>
      <c r="F81" s="9">
        <v>43770</v>
      </c>
      <c r="G81" s="3">
        <v>1</v>
      </c>
      <c r="H81" s="3">
        <v>1234.17</v>
      </c>
      <c r="I81" s="3">
        <v>70</v>
      </c>
      <c r="J81" s="10">
        <f t="shared" si="90"/>
        <v>2019</v>
      </c>
      <c r="K81" s="3" t="str" cm="1">
        <f t="array" ref="K81">IF(I81="","no unit",IF(I81=0,"0 unit",IF(H81/I81=1,"$1 rate",IF(AND(MAX(IF(($A$4:$A$129=A81)*($B$4:$B$129=B81)*($C$4:$C$129=C81)*($E$4:$E$129=E81),$I$4:$I$129))=1,COUNTIFS($A$4:$A$129,A81,$B$4:$B$129,B81,$C$4:$C$129,C81,$E$4:$E$129,E81,$J$4:$J$129,2019,$H$4:$H$129,MODE(IF(($A$4:$A$129=A81)*($B$4:$B$129=B81)*($C$4:$C$129=C81)*($E$4:$E$129=E81)*($J$4:$J$129=2019),$H$4:$H$129)))&lt;2),"1 unit","include"))))</f>
        <v>include</v>
      </c>
      <c r="L81" s="11">
        <v>8.2000000000000003E-2</v>
      </c>
      <c r="M81" s="4">
        <v>5</v>
      </c>
      <c r="N81" s="4">
        <v>335.67</v>
      </c>
      <c r="O81" s="13">
        <f t="shared" si="91"/>
        <v>17.63</v>
      </c>
      <c r="P81" s="12">
        <f t="array" ref="P81">IF(OR(J81=2020,K81&lt;&gt;"include"),"",IFERROR(MAX(_xlfn.MODE.MULT(IF(($A$4:$A$129=A81)*($B$4:$B$129=B81)*($C$4:$C$129=C81)*($J$4:$J$129=J81)*($E$4:$E$129=E81),$O$4:$O$129))),O81))</f>
        <v>335.67</v>
      </c>
      <c r="Q81" s="12">
        <f t="shared" si="92"/>
        <v>17.63</v>
      </c>
      <c r="R81" s="12">
        <f t="shared" si="93"/>
        <v>17.63</v>
      </c>
      <c r="S81" s="12">
        <f t="shared" si="94"/>
        <v>19.079999999999998</v>
      </c>
      <c r="T81" s="14"/>
      <c r="U81" s="12">
        <f t="shared" si="95"/>
        <v>19.079999999999998</v>
      </c>
      <c r="V81" s="12">
        <f t="shared" si="96"/>
        <v>19.079999999999998</v>
      </c>
      <c r="W81" s="12" t="str">
        <f t="shared" si="97"/>
        <v/>
      </c>
      <c r="X81" s="12" t="str">
        <f t="array" ref="X81">IF(OR(J81=2019,K81&lt;&gt;"include"),"",IFERROR(MAX(_xlfn.MODE.MULT(IF(($A$4:$A$129=A81)*($B$4:$B$129=B81)*($C$4:$C$129=C81)*($E$4:$E$129=E81),$U$4:$U$129))),U81))</f>
        <v/>
      </c>
      <c r="Y81" s="12" t="str">
        <f t="shared" si="98"/>
        <v/>
      </c>
      <c r="Z81" s="12" t="str">
        <f t="shared" si="99"/>
        <v/>
      </c>
      <c r="AA81" s="12" t="str">
        <f t="shared" si="100"/>
        <v/>
      </c>
      <c r="AB81" s="12" t="str">
        <f t="shared" si="101"/>
        <v/>
      </c>
      <c r="AC81" s="12">
        <f t="shared" si="102"/>
        <v>1335.6</v>
      </c>
    </row>
    <row r="82" spans="1:29" x14ac:dyDescent="0.2">
      <c r="A82" s="3" t="s">
        <v>39</v>
      </c>
      <c r="B82" s="3" t="s">
        <v>41</v>
      </c>
      <c r="C82" s="3" t="s">
        <v>40</v>
      </c>
      <c r="D82" s="3" t="s">
        <v>35</v>
      </c>
      <c r="E82" s="3" t="s">
        <v>38</v>
      </c>
      <c r="F82" s="9">
        <v>43800</v>
      </c>
      <c r="G82" s="3">
        <v>1</v>
      </c>
      <c r="H82" s="3">
        <v>1234.17</v>
      </c>
      <c r="I82" s="3">
        <v>0</v>
      </c>
      <c r="J82" s="10">
        <f t="shared" si="90"/>
        <v>2019</v>
      </c>
      <c r="K82" s="3" t="str" cm="1">
        <f t="array" ref="K82">IF(I82="","no unit",IF(I82=0,"0 unit",IF(H82/I82=1,"$1 rate",IF(AND(MAX(IF(($A$4:$A$129=A82)*($B$4:$B$129=B82)*($C$4:$C$129=C82)*($E$4:$E$129=E82),$I$4:$I$129))=1,COUNTIFS($A$4:$A$129,A82,$B$4:$B$129,B82,$C$4:$C$129,C82,$E$4:$E$129,E82,$J$4:$J$129,2019,$H$4:$H$129,MODE(IF(($A$4:$A$129=A82)*($B$4:$B$129=B82)*($C$4:$C$129=C82)*($E$4:$E$129=E82)*($J$4:$J$129=2019),$H$4:$H$129)))&lt;2),"1 unit","include"))))</f>
        <v>0 unit</v>
      </c>
      <c r="L82" s="11">
        <v>8.2000000000000003E-2</v>
      </c>
      <c r="M82" s="4">
        <v>5</v>
      </c>
      <c r="N82" s="4">
        <v>335.67</v>
      </c>
      <c r="O82" s="13" t="str">
        <f t="shared" si="91"/>
        <v/>
      </c>
      <c r="P82" s="12" t="str">
        <f t="array" ref="P82">IF(OR(J82=2020,K82&lt;&gt;"include"),"",IFERROR(MAX(_xlfn.MODE.MULT(IF(($A$4:$A$129=A82)*($B$4:$B$129=B82)*($C$4:$C$129=C82)*($J$4:$J$129=J82)*($E$4:$E$129=E82),$O$4:$O$129))),O82))</f>
        <v/>
      </c>
      <c r="Q82" s="12" t="str">
        <f t="shared" si="92"/>
        <v/>
      </c>
      <c r="R82" s="12" t="str">
        <f t="shared" si="93"/>
        <v/>
      </c>
      <c r="S82" s="12" t="str">
        <f t="shared" si="94"/>
        <v/>
      </c>
      <c r="T82" s="14"/>
      <c r="U82" s="12" t="str">
        <f t="shared" si="95"/>
        <v/>
      </c>
      <c r="V82" s="12" t="str">
        <f t="shared" si="96"/>
        <v/>
      </c>
      <c r="W82" s="12" t="str">
        <f t="shared" si="97"/>
        <v/>
      </c>
      <c r="X82" s="12" t="str">
        <f t="array" ref="X82">IF(OR(J82=2019,K82&lt;&gt;"include"),"",IFERROR(MAX(_xlfn.MODE.MULT(IF(($A$4:$A$129=A82)*($B$4:$B$129=B82)*($C$4:$C$129=C82)*($E$4:$E$129=E82),$U$4:$U$129))),U82))</f>
        <v/>
      </c>
      <c r="Y82" s="12" t="str">
        <f t="shared" si="98"/>
        <v/>
      </c>
      <c r="Z82" s="12" t="str">
        <f t="shared" si="99"/>
        <v/>
      </c>
      <c r="AA82" s="12">
        <f t="shared" si="100"/>
        <v>1335.37</v>
      </c>
      <c r="AB82" s="12" t="str">
        <f t="shared" si="101"/>
        <v/>
      </c>
      <c r="AC82" s="12">
        <f t="shared" si="102"/>
        <v>1335.37</v>
      </c>
    </row>
    <row r="83" spans="1:29" x14ac:dyDescent="0.2">
      <c r="A83" s="3" t="s">
        <v>39</v>
      </c>
      <c r="B83" s="3" t="s">
        <v>41</v>
      </c>
      <c r="C83" s="3" t="s">
        <v>40</v>
      </c>
      <c r="D83" s="3" t="s">
        <v>35</v>
      </c>
      <c r="E83" s="3" t="s">
        <v>38</v>
      </c>
      <c r="F83" s="9">
        <v>43831</v>
      </c>
      <c r="G83" s="3">
        <v>1</v>
      </c>
      <c r="H83" s="3">
        <v>3627.8</v>
      </c>
      <c r="I83" s="3">
        <v>10</v>
      </c>
      <c r="J83" s="10">
        <f t="shared" si="90"/>
        <v>2020</v>
      </c>
      <c r="K83" s="3" t="str" cm="1">
        <f t="array" ref="K83">IF(I83="","no unit",IF(I83=0,"0 unit",IF(H83/I83=1,"$1 rate",IF(AND(MAX(IF(($A$4:$A$129=A83)*($B$4:$B$129=B83)*($C$4:$C$129=C83)*($E$4:$E$129=E83),$I$4:$I$129))=1,COUNTIFS($A$4:$A$129,A83,$B$4:$B$129,B83,$C$4:$C$129,C83,$E$4:$E$129,E83,$J$4:$J$129,2019,$H$4:$H$129,MODE(IF(($A$4:$A$129=A83)*($B$4:$B$129=B83)*($C$4:$C$129=C83)*($E$4:$E$129=E83)*($J$4:$J$129=2019),$H$4:$H$129)))&lt;2),"1 unit","include"))))</f>
        <v>include</v>
      </c>
      <c r="L83" s="11">
        <v>8.2000000000000003E-2</v>
      </c>
      <c r="M83" s="4">
        <v>5</v>
      </c>
      <c r="N83" s="4">
        <v>335.67</v>
      </c>
      <c r="O83" s="13" t="str">
        <f t="shared" si="91"/>
        <v/>
      </c>
      <c r="P83" s="12" t="str">
        <f t="array" ref="P83">IF(OR(J83=2020,K83&lt;&gt;"include"),"",IFERROR(MAX(_xlfn.MODE.MULT(IF(($A$4:$A$129=A83)*($B$4:$B$129=B83)*($C$4:$C$129=C83)*($J$4:$J$129=J83)*($E$4:$E$129=E83),$O$4:$O$129))),O83))</f>
        <v/>
      </c>
      <c r="Q83" s="12" t="str">
        <f t="shared" si="92"/>
        <v/>
      </c>
      <c r="R83" s="12" t="str">
        <f t="shared" si="93"/>
        <v/>
      </c>
      <c r="S83" s="12" t="str">
        <f t="shared" si="94"/>
        <v/>
      </c>
      <c r="T83" s="14"/>
      <c r="U83" s="12" t="str">
        <f t="shared" si="95"/>
        <v/>
      </c>
      <c r="V83" s="12" t="str">
        <f t="shared" si="96"/>
        <v/>
      </c>
      <c r="W83" s="12">
        <f t="shared" si="97"/>
        <v>362.78</v>
      </c>
      <c r="X83" s="12">
        <f t="array" ref="X83">IF(OR(J83=2019,K83&lt;&gt;"include"),"",IFERROR(MAX(_xlfn.MODE.MULT(IF(($A$4:$A$129=A83)*($B$4:$B$129=B83)*($C$4:$C$129=C83)*($E$4:$E$129=E83),$U$4:$U$129))),U83))</f>
        <v>362.78</v>
      </c>
      <c r="Y83" s="12">
        <f t="shared" si="98"/>
        <v>362.78</v>
      </c>
      <c r="Z83" s="12">
        <f t="shared" si="99"/>
        <v>357.78</v>
      </c>
      <c r="AA83" s="12" t="str">
        <f t="shared" si="100"/>
        <v/>
      </c>
      <c r="AB83" s="12" t="str">
        <f t="shared" si="101"/>
        <v/>
      </c>
      <c r="AC83" s="12">
        <f t="shared" si="102"/>
        <v>3577.8</v>
      </c>
    </row>
    <row r="84" spans="1:29" x14ac:dyDescent="0.2">
      <c r="A84" s="3" t="s">
        <v>39</v>
      </c>
      <c r="B84" s="3" t="s">
        <v>41</v>
      </c>
      <c r="C84" s="3" t="s">
        <v>40</v>
      </c>
      <c r="D84" s="3" t="s">
        <v>35</v>
      </c>
      <c r="E84" s="3" t="s">
        <v>38</v>
      </c>
      <c r="F84" s="9">
        <v>43862</v>
      </c>
      <c r="G84" s="3">
        <v>1</v>
      </c>
      <c r="H84" s="3">
        <v>3627.8</v>
      </c>
      <c r="I84" s="3">
        <v>10</v>
      </c>
      <c r="J84" s="10">
        <f t="shared" si="90"/>
        <v>2020</v>
      </c>
      <c r="K84" s="3" t="str" cm="1">
        <f t="array" ref="K84">IF(I84="","no unit",IF(I84=0,"0 unit",IF(H84/I84=1,"$1 rate",IF(AND(MAX(IF(($A$4:$A$129=A84)*($B$4:$B$129=B84)*($C$4:$C$129=C84)*($E$4:$E$129=E84),$I$4:$I$129))=1,COUNTIFS($A$4:$A$129,A84,$B$4:$B$129,B84,$C$4:$C$129,C84,$E$4:$E$129,E84,$J$4:$J$129,2019,$H$4:$H$129,MODE(IF(($A$4:$A$129=A84)*($B$4:$B$129=B84)*($C$4:$C$129=C84)*($E$4:$E$129=E84)*($J$4:$J$129=2019),$H$4:$H$129)))&lt;2),"1 unit","include"))))</f>
        <v>include</v>
      </c>
      <c r="L84" s="11">
        <v>8.2000000000000003E-2</v>
      </c>
      <c r="M84" s="4">
        <v>5</v>
      </c>
      <c r="N84" s="4">
        <v>335.67</v>
      </c>
      <c r="O84" s="13" t="str">
        <f t="shared" si="91"/>
        <v/>
      </c>
      <c r="P84" s="12" t="str">
        <f t="array" ref="P84">IF(OR(J84=2020,K84&lt;&gt;"include"),"",IFERROR(MAX(_xlfn.MODE.MULT(IF(($A$4:$A$129=A84)*($B$4:$B$129=B84)*($C$4:$C$129=C84)*($J$4:$J$129=J84)*($E$4:$E$129=E84),$O$4:$O$129))),O84))</f>
        <v/>
      </c>
      <c r="Q84" s="12" t="str">
        <f t="shared" si="92"/>
        <v/>
      </c>
      <c r="R84" s="12" t="str">
        <f t="shared" si="93"/>
        <v/>
      </c>
      <c r="S84" s="12" t="str">
        <f t="shared" si="94"/>
        <v/>
      </c>
      <c r="T84" s="14"/>
      <c r="U84" s="12" t="str">
        <f t="shared" si="95"/>
        <v/>
      </c>
      <c r="V84" s="12" t="str">
        <f t="shared" si="96"/>
        <v/>
      </c>
      <c r="W84" s="12">
        <f t="shared" si="97"/>
        <v>362.78</v>
      </c>
      <c r="X84" s="12">
        <f t="array" ref="X84">IF(OR(J84=2019,K84&lt;&gt;"include"),"",IFERROR(MAX(_xlfn.MODE.MULT(IF(($A$4:$A$129=A84)*($B$4:$B$129=B84)*($C$4:$C$129=C84)*($E$4:$E$129=E84),$U$4:$U$129))),U84))</f>
        <v>362.78</v>
      </c>
      <c r="Y84" s="12">
        <f t="shared" si="98"/>
        <v>362.78</v>
      </c>
      <c r="Z84" s="12">
        <f t="shared" si="99"/>
        <v>357.78</v>
      </c>
      <c r="AA84" s="12" t="str">
        <f t="shared" si="100"/>
        <v/>
      </c>
      <c r="AB84" s="12" t="str">
        <f t="shared" si="101"/>
        <v/>
      </c>
      <c r="AC84" s="12">
        <f t="shared" si="102"/>
        <v>3577.8</v>
      </c>
    </row>
  </sheetData>
  <mergeCells count="3">
    <mergeCell ref="A1:I1"/>
    <mergeCell ref="J1:N1"/>
    <mergeCell ref="O1:AC1"/>
  </mergeCells>
  <pageMargins left="0.7" right="0.7" top="0.75" bottom="0.75" header="0.3" footer="0.3"/>
  <pageSetup scale="45" orientation="landscape" r:id="rId1"/>
  <headerFooter>
    <oddHeader>&amp;C&amp;"-,Bold"&amp;14Repricing Examples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867D-DED8-4CC1-9C0A-229AF6938A9C}">
  <sheetPr>
    <pageSetUpPr fitToPage="1"/>
  </sheetPr>
  <dimension ref="A1:S30"/>
  <sheetViews>
    <sheetView view="pageLayout" zoomScaleNormal="120" zoomScaleSheetLayoutView="130" workbookViewId="0">
      <selection activeCell="Q29" sqref="Q29"/>
    </sheetView>
  </sheetViews>
  <sheetFormatPr defaultColWidth="9.140625" defaultRowHeight="12.75" x14ac:dyDescent="0.2"/>
  <cols>
    <col min="1" max="1" width="15.28515625" style="19" bestFit="1" customWidth="1"/>
    <col min="2" max="2" width="11.5703125" style="19" bestFit="1" customWidth="1"/>
    <col min="3" max="4" width="10.5703125" style="19" customWidth="1"/>
    <col min="5" max="5" width="10.7109375" style="22" customWidth="1"/>
    <col min="6" max="16" width="10.7109375" style="1" customWidth="1"/>
    <col min="17" max="17" width="11.5703125" style="22" customWidth="1"/>
    <col min="18" max="19" width="11.5703125" style="19" customWidth="1"/>
    <col min="20" max="16384" width="9.140625" style="19"/>
  </cols>
  <sheetData>
    <row r="1" spans="1:19" ht="15" customHeight="1" x14ac:dyDescent="0.2">
      <c r="A1" s="32" t="s">
        <v>71</v>
      </c>
      <c r="B1" s="32" t="s">
        <v>72</v>
      </c>
      <c r="C1" s="32" t="s">
        <v>3</v>
      </c>
      <c r="D1" s="32" t="s">
        <v>7</v>
      </c>
      <c r="E1" s="34" t="s">
        <v>73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7" t="s">
        <v>74</v>
      </c>
      <c r="R1" s="30" t="s">
        <v>75</v>
      </c>
      <c r="S1" s="30" t="s">
        <v>76</v>
      </c>
    </row>
    <row r="2" spans="1:19" x14ac:dyDescent="0.2">
      <c r="A2" s="33"/>
      <c r="B2" s="33"/>
      <c r="C2" s="33"/>
      <c r="D2" s="33"/>
      <c r="E2" s="20">
        <v>43525</v>
      </c>
      <c r="F2" s="21">
        <v>43556</v>
      </c>
      <c r="G2" s="21">
        <v>43586</v>
      </c>
      <c r="H2" s="21">
        <v>43617</v>
      </c>
      <c r="I2" s="21">
        <v>43647</v>
      </c>
      <c r="J2" s="21">
        <v>43678</v>
      </c>
      <c r="K2" s="21">
        <v>43709</v>
      </c>
      <c r="L2" s="21">
        <v>43739</v>
      </c>
      <c r="M2" s="21">
        <v>43770</v>
      </c>
      <c r="N2" s="21">
        <v>43800</v>
      </c>
      <c r="O2" s="21">
        <v>43831</v>
      </c>
      <c r="P2" s="21">
        <v>43862</v>
      </c>
      <c r="Q2" s="38"/>
      <c r="R2" s="31"/>
      <c r="S2" s="31"/>
    </row>
    <row r="3" spans="1:19" x14ac:dyDescent="0.2">
      <c r="A3" s="19" t="s">
        <v>77</v>
      </c>
      <c r="B3" s="19" t="s">
        <v>34</v>
      </c>
      <c r="C3" s="19" t="s">
        <v>83</v>
      </c>
      <c r="D3" s="19" t="s">
        <v>81</v>
      </c>
      <c r="E3" s="22">
        <v>1376.58</v>
      </c>
      <c r="F3" s="1">
        <v>1442.13</v>
      </c>
      <c r="G3" s="1">
        <v>852.17</v>
      </c>
      <c r="Q3" s="22">
        <f t="shared" ref="Q3:Q14" si="0">IFERROR(ROUND(AVERAGEIF(E3:P3,"&gt;0"),2),"")</f>
        <v>1223.6300000000001</v>
      </c>
      <c r="R3" s="19">
        <f t="shared" ref="R3:R14" si="1">COUNTIF(E3:P3,"&gt;0")</f>
        <v>3</v>
      </c>
      <c r="S3" s="1">
        <f t="shared" ref="S3:S14" si="2">SUM(E3:P3)</f>
        <v>3670.88</v>
      </c>
    </row>
    <row r="4" spans="1:19" x14ac:dyDescent="0.2">
      <c r="A4" s="19" t="s">
        <v>77</v>
      </c>
      <c r="B4" s="19" t="s">
        <v>34</v>
      </c>
      <c r="C4" s="19" t="s">
        <v>84</v>
      </c>
      <c r="D4" s="19" t="s">
        <v>81</v>
      </c>
      <c r="E4" s="22">
        <v>1233.6199999999999</v>
      </c>
      <c r="F4" s="1">
        <v>1428.4</v>
      </c>
      <c r="G4" s="1">
        <v>1428.4</v>
      </c>
      <c r="H4" s="1">
        <v>1298.54</v>
      </c>
      <c r="I4" s="1">
        <v>1428.4</v>
      </c>
      <c r="J4" s="1">
        <v>1428.4</v>
      </c>
      <c r="K4" s="1">
        <v>1298.54</v>
      </c>
      <c r="L4" s="1">
        <v>1493.33</v>
      </c>
      <c r="M4" s="1">
        <v>1233.6199999999999</v>
      </c>
      <c r="N4" s="1">
        <v>1103.76</v>
      </c>
      <c r="O4" s="1">
        <v>1233.6199999999999</v>
      </c>
      <c r="P4" s="1">
        <v>1233.6199999999999</v>
      </c>
      <c r="Q4" s="22">
        <f t="shared" si="0"/>
        <v>1320.19</v>
      </c>
      <c r="R4" s="19">
        <f t="shared" si="1"/>
        <v>12</v>
      </c>
      <c r="S4" s="1">
        <f t="shared" si="2"/>
        <v>15842.25</v>
      </c>
    </row>
    <row r="5" spans="1:19" x14ac:dyDescent="0.2">
      <c r="A5" s="19" t="s">
        <v>77</v>
      </c>
      <c r="B5" s="19" t="s">
        <v>34</v>
      </c>
      <c r="C5" s="19" t="s">
        <v>85</v>
      </c>
      <c r="D5" s="19" t="s">
        <v>81</v>
      </c>
      <c r="E5" s="22">
        <v>1123.74</v>
      </c>
      <c r="F5" s="1">
        <v>1123.74</v>
      </c>
      <c r="G5" s="1">
        <v>1123.74</v>
      </c>
      <c r="H5" s="1">
        <v>1123.74</v>
      </c>
      <c r="I5" s="1">
        <v>842.81</v>
      </c>
      <c r="J5" s="1">
        <v>1236.1099999999999</v>
      </c>
      <c r="K5" s="1">
        <v>1067.55</v>
      </c>
      <c r="L5" s="1">
        <v>1292.3</v>
      </c>
      <c r="M5" s="1">
        <v>1067.55</v>
      </c>
      <c r="N5" s="1">
        <v>1123.74</v>
      </c>
      <c r="O5" s="1">
        <v>1067.55</v>
      </c>
      <c r="P5" s="1">
        <v>1011.37</v>
      </c>
      <c r="Q5" s="22">
        <f t="shared" si="0"/>
        <v>1100.33</v>
      </c>
      <c r="R5" s="19">
        <f t="shared" si="1"/>
        <v>12</v>
      </c>
      <c r="S5" s="1">
        <f t="shared" si="2"/>
        <v>13203.939999999999</v>
      </c>
    </row>
    <row r="6" spans="1:19" x14ac:dyDescent="0.2">
      <c r="A6" s="19" t="s">
        <v>77</v>
      </c>
      <c r="B6" s="19" t="s">
        <v>34</v>
      </c>
      <c r="C6" s="19" t="s">
        <v>86</v>
      </c>
      <c r="D6" s="19" t="s">
        <v>81</v>
      </c>
      <c r="E6" s="22">
        <v>998.88</v>
      </c>
      <c r="F6" s="1">
        <v>998.88</v>
      </c>
      <c r="G6" s="1">
        <v>1098.77</v>
      </c>
      <c r="H6" s="1">
        <v>923.97</v>
      </c>
      <c r="I6" s="1">
        <v>1048.82</v>
      </c>
      <c r="J6" s="1">
        <v>1048.82</v>
      </c>
      <c r="K6" s="1">
        <v>898.99</v>
      </c>
      <c r="L6" s="1">
        <v>1048.82</v>
      </c>
      <c r="M6" s="1">
        <v>699.22</v>
      </c>
      <c r="N6" s="1">
        <v>799.1</v>
      </c>
      <c r="O6" s="1">
        <v>1048.82</v>
      </c>
      <c r="P6" s="1">
        <v>923.97</v>
      </c>
      <c r="Q6" s="22">
        <f t="shared" si="0"/>
        <v>961.42</v>
      </c>
      <c r="R6" s="19">
        <f t="shared" si="1"/>
        <v>12</v>
      </c>
      <c r="S6" s="1">
        <f t="shared" si="2"/>
        <v>11537.059999999998</v>
      </c>
    </row>
    <row r="7" spans="1:19" x14ac:dyDescent="0.2">
      <c r="A7" s="19" t="s">
        <v>77</v>
      </c>
      <c r="B7" s="19" t="s">
        <v>34</v>
      </c>
      <c r="C7" s="19" t="s">
        <v>87</v>
      </c>
      <c r="D7" s="19" t="s">
        <v>81</v>
      </c>
      <c r="E7" s="22">
        <v>1442.13</v>
      </c>
      <c r="F7" s="1">
        <v>1442.13</v>
      </c>
      <c r="G7" s="1">
        <v>1236.1099999999999</v>
      </c>
      <c r="H7" s="1">
        <v>1373.46</v>
      </c>
      <c r="I7" s="1">
        <v>1442.13</v>
      </c>
      <c r="J7" s="1">
        <v>1373.46</v>
      </c>
      <c r="K7" s="1">
        <v>1373.46</v>
      </c>
      <c r="L7" s="1">
        <v>1442.13</v>
      </c>
      <c r="M7" s="1">
        <v>1030.0999999999999</v>
      </c>
      <c r="N7" s="1">
        <v>1373.46</v>
      </c>
      <c r="O7" s="1">
        <v>1304.79</v>
      </c>
      <c r="P7" s="1">
        <v>1304.79</v>
      </c>
      <c r="Q7" s="22">
        <f t="shared" si="0"/>
        <v>1344.85</v>
      </c>
      <c r="R7" s="19">
        <f t="shared" si="1"/>
        <v>12</v>
      </c>
      <c r="S7" s="1">
        <f t="shared" si="2"/>
        <v>16138.150000000005</v>
      </c>
    </row>
    <row r="8" spans="1:19" x14ac:dyDescent="0.2">
      <c r="A8" s="19" t="s">
        <v>77</v>
      </c>
      <c r="B8" s="19" t="s">
        <v>34</v>
      </c>
      <c r="C8" s="19" t="s">
        <v>88</v>
      </c>
      <c r="D8" s="19" t="s">
        <v>81</v>
      </c>
      <c r="E8" s="22">
        <v>1336</v>
      </c>
      <c r="F8" s="1">
        <v>1402.8</v>
      </c>
      <c r="G8" s="1">
        <v>1068.8</v>
      </c>
      <c r="H8" s="1">
        <v>835.01</v>
      </c>
      <c r="I8" s="1">
        <v>1336</v>
      </c>
      <c r="J8" s="1">
        <v>1102.21</v>
      </c>
      <c r="K8" s="1">
        <v>534.4</v>
      </c>
      <c r="Q8" s="22">
        <f t="shared" si="0"/>
        <v>1087.8900000000001</v>
      </c>
      <c r="R8" s="19">
        <f t="shared" si="1"/>
        <v>7</v>
      </c>
      <c r="S8" s="1">
        <f t="shared" si="2"/>
        <v>7615.22</v>
      </c>
    </row>
    <row r="9" spans="1:19" x14ac:dyDescent="0.2">
      <c r="A9" s="19" t="s">
        <v>77</v>
      </c>
      <c r="B9" s="19" t="s">
        <v>34</v>
      </c>
      <c r="C9" s="19" t="s">
        <v>86</v>
      </c>
      <c r="D9" s="19" t="s">
        <v>82</v>
      </c>
      <c r="E9" s="22">
        <v>156.08000000000001</v>
      </c>
      <c r="Q9" s="22">
        <f t="shared" si="0"/>
        <v>156.08000000000001</v>
      </c>
      <c r="R9" s="19">
        <f t="shared" si="1"/>
        <v>1</v>
      </c>
      <c r="S9" s="1">
        <f t="shared" si="2"/>
        <v>156.08000000000001</v>
      </c>
    </row>
    <row r="10" spans="1:19" x14ac:dyDescent="0.2">
      <c r="A10" s="19" t="s">
        <v>77</v>
      </c>
      <c r="B10" s="19" t="s">
        <v>34</v>
      </c>
      <c r="C10" s="19" t="s">
        <v>87</v>
      </c>
      <c r="D10" s="19" t="s">
        <v>82</v>
      </c>
      <c r="E10" s="22">
        <v>669.56</v>
      </c>
      <c r="F10" s="1">
        <v>721.07</v>
      </c>
      <c r="G10" s="1">
        <v>755.4</v>
      </c>
      <c r="H10" s="1">
        <v>652.39</v>
      </c>
      <c r="I10" s="1">
        <v>721.07</v>
      </c>
      <c r="J10" s="1">
        <v>738.24</v>
      </c>
      <c r="Q10" s="22">
        <f t="shared" si="0"/>
        <v>709.62</v>
      </c>
      <c r="R10" s="19">
        <f t="shared" si="1"/>
        <v>6</v>
      </c>
      <c r="S10" s="1">
        <f t="shared" si="2"/>
        <v>4257.7300000000005</v>
      </c>
    </row>
    <row r="11" spans="1:19" x14ac:dyDescent="0.2">
      <c r="A11" s="19" t="s">
        <v>77</v>
      </c>
      <c r="B11" s="19" t="s">
        <v>34</v>
      </c>
      <c r="C11" s="19" t="s">
        <v>88</v>
      </c>
      <c r="D11" s="19" t="s">
        <v>82</v>
      </c>
      <c r="E11" s="22">
        <v>576.85</v>
      </c>
      <c r="F11" s="1">
        <v>576.85</v>
      </c>
      <c r="G11" s="1">
        <v>576.85</v>
      </c>
      <c r="H11" s="1">
        <v>508.18</v>
      </c>
      <c r="I11" s="1">
        <v>604.32000000000005</v>
      </c>
      <c r="J11" s="1">
        <v>576.85</v>
      </c>
      <c r="K11" s="1">
        <v>494.45</v>
      </c>
      <c r="L11" s="1">
        <v>549.38</v>
      </c>
      <c r="M11" s="1">
        <v>521.91</v>
      </c>
      <c r="N11" s="1">
        <v>521.91</v>
      </c>
      <c r="O11" s="1">
        <v>535.65</v>
      </c>
      <c r="P11" s="1">
        <v>521.91</v>
      </c>
      <c r="Q11" s="22">
        <f t="shared" si="0"/>
        <v>547.09</v>
      </c>
      <c r="R11" s="19">
        <f t="shared" si="1"/>
        <v>12</v>
      </c>
      <c r="S11" s="1">
        <f t="shared" si="2"/>
        <v>6565.1099999999988</v>
      </c>
    </row>
    <row r="12" spans="1:19" x14ac:dyDescent="0.2">
      <c r="A12" s="19" t="s">
        <v>77</v>
      </c>
      <c r="B12" s="19" t="s">
        <v>34</v>
      </c>
      <c r="C12" s="19" t="s">
        <v>89</v>
      </c>
      <c r="D12" s="19" t="s">
        <v>82</v>
      </c>
      <c r="E12" s="22">
        <v>616.80999999999995</v>
      </c>
      <c r="F12" s="1">
        <v>551.88</v>
      </c>
      <c r="G12" s="1">
        <v>714.2</v>
      </c>
      <c r="H12" s="1">
        <v>649.27</v>
      </c>
      <c r="I12" s="1">
        <v>616.80999999999995</v>
      </c>
      <c r="J12" s="1">
        <v>486.95</v>
      </c>
      <c r="K12" s="1">
        <v>649.27</v>
      </c>
      <c r="L12" s="1">
        <v>746.66</v>
      </c>
      <c r="M12" s="1">
        <v>616.80999999999995</v>
      </c>
      <c r="N12" s="1">
        <v>486.95</v>
      </c>
      <c r="O12" s="1">
        <v>616.80999999999995</v>
      </c>
      <c r="P12" s="1">
        <v>616.80999999999995</v>
      </c>
      <c r="Q12" s="22">
        <f t="shared" si="0"/>
        <v>614.1</v>
      </c>
      <c r="R12" s="19">
        <f t="shared" si="1"/>
        <v>12</v>
      </c>
      <c r="S12" s="1">
        <f t="shared" si="2"/>
        <v>7369.23</v>
      </c>
    </row>
    <row r="13" spans="1:19" x14ac:dyDescent="0.2">
      <c r="A13" s="19" t="s">
        <v>77</v>
      </c>
      <c r="B13" s="19" t="s">
        <v>34</v>
      </c>
      <c r="C13" s="19" t="s">
        <v>90</v>
      </c>
      <c r="D13" s="19" t="s">
        <v>82</v>
      </c>
      <c r="J13" s="1">
        <v>659.26</v>
      </c>
      <c r="K13" s="1">
        <v>569.36</v>
      </c>
      <c r="L13" s="1">
        <v>689.23</v>
      </c>
      <c r="M13" s="1">
        <v>569.36</v>
      </c>
      <c r="N13" s="1">
        <v>599.33000000000004</v>
      </c>
      <c r="O13" s="1">
        <v>599.33000000000004</v>
      </c>
      <c r="P13" s="1">
        <v>539.4</v>
      </c>
      <c r="Q13" s="22">
        <f t="shared" si="0"/>
        <v>603.61</v>
      </c>
      <c r="R13" s="19">
        <f t="shared" si="1"/>
        <v>7</v>
      </c>
      <c r="S13" s="1">
        <f t="shared" si="2"/>
        <v>4225.2699999999995</v>
      </c>
    </row>
    <row r="14" spans="1:19" x14ac:dyDescent="0.2">
      <c r="A14" s="19" t="s">
        <v>77</v>
      </c>
      <c r="B14" s="19" t="s">
        <v>34</v>
      </c>
      <c r="C14" s="19" t="s">
        <v>91</v>
      </c>
      <c r="D14" s="19" t="s">
        <v>82</v>
      </c>
      <c r="E14" s="22">
        <v>474.47</v>
      </c>
      <c r="F14" s="1">
        <v>524.41</v>
      </c>
      <c r="G14" s="1">
        <v>524.41</v>
      </c>
      <c r="H14" s="1">
        <v>424.52</v>
      </c>
      <c r="I14" s="1">
        <v>549.38</v>
      </c>
      <c r="J14" s="1">
        <v>549.38</v>
      </c>
      <c r="K14" s="1">
        <v>474.47</v>
      </c>
      <c r="L14" s="1">
        <v>549.38</v>
      </c>
      <c r="M14" s="1">
        <v>424.52</v>
      </c>
      <c r="N14" s="1">
        <v>374.58</v>
      </c>
      <c r="O14" s="1">
        <v>524.41</v>
      </c>
      <c r="P14" s="1">
        <v>424.52</v>
      </c>
      <c r="Q14" s="22">
        <f t="shared" si="0"/>
        <v>484.87</v>
      </c>
      <c r="R14" s="19">
        <f t="shared" si="1"/>
        <v>12</v>
      </c>
      <c r="S14" s="1">
        <f t="shared" si="2"/>
        <v>5818.4500000000007</v>
      </c>
    </row>
    <row r="15" spans="1:19" x14ac:dyDescent="0.2">
      <c r="A15" s="19" t="s">
        <v>77</v>
      </c>
      <c r="B15" s="19" t="s">
        <v>40</v>
      </c>
      <c r="C15" s="19" t="s">
        <v>93</v>
      </c>
      <c r="D15" s="19" t="s">
        <v>81</v>
      </c>
      <c r="E15" s="22">
        <v>1327.8330000000001</v>
      </c>
      <c r="F15" s="1">
        <v>1401.6015</v>
      </c>
      <c r="G15" s="1">
        <v>811.45349999999996</v>
      </c>
      <c r="H15" s="1">
        <v>73.768499999999989</v>
      </c>
      <c r="Q15" s="22">
        <f t="shared" ref="Q15:Q20" si="3">IFERROR(ROUND(AVERAGEIF(E15:P15,"&gt;0"),2),"")</f>
        <v>903.66</v>
      </c>
      <c r="R15" s="19">
        <f t="shared" ref="R15:R20" si="4">COUNTIF(E15:P15,"&gt;0")</f>
        <v>4</v>
      </c>
      <c r="S15" s="1">
        <f t="shared" ref="S15:S20" si="5">SUM(E15:P15)</f>
        <v>3614.6565000000005</v>
      </c>
    </row>
    <row r="16" spans="1:19" x14ac:dyDescent="0.2">
      <c r="A16" s="19" t="s">
        <v>77</v>
      </c>
      <c r="B16" s="19" t="s">
        <v>40</v>
      </c>
      <c r="C16" s="19" t="s">
        <v>94</v>
      </c>
      <c r="D16" s="19" t="s">
        <v>81</v>
      </c>
      <c r="M16" s="1">
        <v>399.26249999999999</v>
      </c>
      <c r="N16" s="1">
        <v>79.852500000000006</v>
      </c>
      <c r="Q16" s="22">
        <f t="shared" si="3"/>
        <v>239.56</v>
      </c>
      <c r="R16" s="19">
        <f t="shared" si="4"/>
        <v>2</v>
      </c>
      <c r="S16" s="1">
        <f t="shared" si="5"/>
        <v>479.11500000000001</v>
      </c>
    </row>
    <row r="17" spans="1:19" x14ac:dyDescent="0.2">
      <c r="A17" s="19" t="s">
        <v>77</v>
      </c>
      <c r="B17" s="19" t="s">
        <v>40</v>
      </c>
      <c r="C17" s="19" t="s">
        <v>95</v>
      </c>
      <c r="D17" s="19" t="s">
        <v>81</v>
      </c>
      <c r="E17" s="22">
        <v>1581.0795000000001</v>
      </c>
      <c r="F17" s="1">
        <v>1656.3689999999999</v>
      </c>
      <c r="G17" s="1">
        <v>1129.3425</v>
      </c>
      <c r="H17" s="1">
        <v>903.47400000000005</v>
      </c>
      <c r="I17" s="1">
        <v>1054.0530000000001</v>
      </c>
      <c r="J17" s="1">
        <v>978.76350000000002</v>
      </c>
      <c r="K17" s="1">
        <v>903.47400000000005</v>
      </c>
      <c r="L17" s="1">
        <v>1135.5498</v>
      </c>
      <c r="M17" s="1">
        <v>1279.9214999999999</v>
      </c>
      <c r="N17" s="1">
        <v>1279.9214999999999</v>
      </c>
      <c r="O17" s="1">
        <v>1581.0795000000001</v>
      </c>
      <c r="P17" s="1">
        <v>1430.5005000000001</v>
      </c>
      <c r="Q17" s="22">
        <f t="shared" si="3"/>
        <v>1242.79</v>
      </c>
      <c r="R17" s="19">
        <f t="shared" si="4"/>
        <v>12</v>
      </c>
      <c r="S17" s="1">
        <f t="shared" si="5"/>
        <v>14913.528300000002</v>
      </c>
    </row>
    <row r="18" spans="1:19" x14ac:dyDescent="0.2">
      <c r="A18" s="19" t="s">
        <v>77</v>
      </c>
      <c r="B18" s="19" t="s">
        <v>40</v>
      </c>
      <c r="C18" s="19" t="s">
        <v>96</v>
      </c>
      <c r="D18" s="19" t="s">
        <v>81</v>
      </c>
      <c r="E18" s="22">
        <v>234.99450000000002</v>
      </c>
      <c r="F18" s="1">
        <v>313.32600000000002</v>
      </c>
      <c r="G18" s="1">
        <v>156.66300000000001</v>
      </c>
      <c r="H18" s="1">
        <v>234.99450000000002</v>
      </c>
      <c r="I18" s="1">
        <v>313.32600000000002</v>
      </c>
      <c r="J18" s="1">
        <v>234.99450000000002</v>
      </c>
      <c r="K18" s="1">
        <v>234.99450000000002</v>
      </c>
      <c r="L18" s="1">
        <v>313.32600000000002</v>
      </c>
      <c r="M18" s="1">
        <v>234.99450000000002</v>
      </c>
      <c r="N18" s="1">
        <v>78.331500000000005</v>
      </c>
      <c r="O18" s="1">
        <v>156.66300000000001</v>
      </c>
      <c r="P18" s="1">
        <v>156.66300000000001</v>
      </c>
      <c r="Q18" s="22">
        <f t="shared" si="3"/>
        <v>221.94</v>
      </c>
      <c r="R18" s="19">
        <f t="shared" si="4"/>
        <v>12</v>
      </c>
      <c r="S18" s="1">
        <f t="shared" si="5"/>
        <v>2663.2710000000006</v>
      </c>
    </row>
    <row r="19" spans="1:19" x14ac:dyDescent="0.2">
      <c r="A19" s="19" t="s">
        <v>77</v>
      </c>
      <c r="B19" s="19" t="s">
        <v>40</v>
      </c>
      <c r="C19" s="19" t="s">
        <v>97</v>
      </c>
      <c r="D19" s="19" t="s">
        <v>81</v>
      </c>
      <c r="E19" s="22">
        <v>1613.0204999999999</v>
      </c>
      <c r="F19" s="1">
        <v>1689.8309999999999</v>
      </c>
      <c r="G19" s="1">
        <v>1382.5890000000002</v>
      </c>
      <c r="H19" s="1">
        <v>1228.9680000000001</v>
      </c>
      <c r="I19" s="1">
        <v>1459.3995</v>
      </c>
      <c r="J19" s="1">
        <v>1689.8309999999999</v>
      </c>
      <c r="K19" s="1">
        <v>1459.3995</v>
      </c>
      <c r="L19" s="1">
        <v>1696.1636999999998</v>
      </c>
      <c r="M19" s="1">
        <v>1459.3995</v>
      </c>
      <c r="N19" s="1">
        <v>1305.7784999999999</v>
      </c>
      <c r="O19" s="1">
        <v>1613.0204999999999</v>
      </c>
      <c r="P19" s="1">
        <v>1536.21</v>
      </c>
      <c r="Q19" s="22">
        <f t="shared" si="3"/>
        <v>1511.13</v>
      </c>
      <c r="R19" s="19">
        <f t="shared" si="4"/>
        <v>12</v>
      </c>
      <c r="S19" s="1">
        <f t="shared" si="5"/>
        <v>18133.610699999997</v>
      </c>
    </row>
    <row r="20" spans="1:19" x14ac:dyDescent="0.2">
      <c r="A20" s="19" t="s">
        <v>77</v>
      </c>
      <c r="B20" s="19" t="s">
        <v>40</v>
      </c>
      <c r="C20" s="19" t="s">
        <v>98</v>
      </c>
      <c r="D20" s="19" t="s">
        <v>81</v>
      </c>
      <c r="E20" s="22">
        <v>819.81899999999996</v>
      </c>
      <c r="F20" s="1">
        <v>894.34799999999996</v>
      </c>
      <c r="G20" s="1">
        <v>894.34799999999996</v>
      </c>
      <c r="H20" s="1">
        <v>782.55939999999998</v>
      </c>
      <c r="J20" s="1">
        <v>596.23199999999997</v>
      </c>
      <c r="K20" s="1">
        <v>1266.9929999999999</v>
      </c>
      <c r="L20" s="1">
        <v>304.26060000000001</v>
      </c>
      <c r="M20" s="1">
        <v>670.76100000000008</v>
      </c>
      <c r="N20" s="1">
        <v>596.23199999999997</v>
      </c>
      <c r="O20" s="1">
        <v>745.29</v>
      </c>
      <c r="P20" s="1">
        <v>968.87699999999995</v>
      </c>
      <c r="Q20" s="22">
        <f t="shared" si="3"/>
        <v>776.34</v>
      </c>
      <c r="R20" s="19">
        <f t="shared" si="4"/>
        <v>11</v>
      </c>
      <c r="S20" s="1">
        <f t="shared" si="5"/>
        <v>8539.7199999999993</v>
      </c>
    </row>
    <row r="21" spans="1:19" x14ac:dyDescent="0.2">
      <c r="S21" s="1"/>
    </row>
    <row r="23" spans="1:19" ht="13.5" x14ac:dyDescent="0.25">
      <c r="A23" s="17" t="s">
        <v>92</v>
      </c>
    </row>
    <row r="25" spans="1:19" x14ac:dyDescent="0.2"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9" x14ac:dyDescent="0.2"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9" x14ac:dyDescent="0.2"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9" x14ac:dyDescent="0.2"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9" x14ac:dyDescent="0.2"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9" x14ac:dyDescent="0.2"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</sheetData>
  <mergeCells count="8">
    <mergeCell ref="R1:R2"/>
    <mergeCell ref="S1:S2"/>
    <mergeCell ref="A1:A2"/>
    <mergeCell ref="B1:B2"/>
    <mergeCell ref="C1:C2"/>
    <mergeCell ref="D1:D2"/>
    <mergeCell ref="E1:P1"/>
    <mergeCell ref="Q1:Q2"/>
  </mergeCells>
  <phoneticPr fontId="6" type="noConversion"/>
  <pageMargins left="0.7" right="0.7" top="0.75" bottom="0.75" header="0.3" footer="0.3"/>
  <pageSetup scale="75" fitToHeight="0" orientation="landscape" r:id="rId1"/>
  <headerFooter>
    <oddHeader>&amp;C&amp;"-,Bold"&amp;14Individual Rollup Example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462D-2AB9-4F4E-8743-9DD99B55025B}">
  <dimension ref="A1:F5"/>
  <sheetViews>
    <sheetView tabSelected="1" view="pageLayout" zoomScaleNormal="120" workbookViewId="0">
      <selection activeCell="A39" sqref="A39"/>
    </sheetView>
  </sheetViews>
  <sheetFormatPr defaultColWidth="9.140625" defaultRowHeight="12.75" x14ac:dyDescent="0.2"/>
  <cols>
    <col min="1" max="1" width="15.28515625" style="23" bestFit="1" customWidth="1"/>
    <col min="2" max="2" width="11.5703125" style="23" bestFit="1" customWidth="1"/>
    <col min="3" max="3" width="9.5703125" style="23" customWidth="1"/>
    <col min="4" max="4" width="18.7109375" style="26" bestFit="1" customWidth="1"/>
    <col min="5" max="5" width="13.7109375" style="27" customWidth="1"/>
    <col min="6" max="6" width="12.7109375" style="27" customWidth="1"/>
    <col min="7" max="16384" width="9.140625" style="19"/>
  </cols>
  <sheetData>
    <row r="1" spans="1:6" x14ac:dyDescent="0.2">
      <c r="A1" s="39" t="s">
        <v>71</v>
      </c>
      <c r="B1" s="39" t="s">
        <v>72</v>
      </c>
      <c r="C1" s="39" t="s">
        <v>7</v>
      </c>
      <c r="D1" s="39" t="s">
        <v>78</v>
      </c>
      <c r="E1" s="39"/>
      <c r="F1" s="41" t="s">
        <v>79</v>
      </c>
    </row>
    <row r="2" spans="1:6" x14ac:dyDescent="0.2">
      <c r="A2" s="40"/>
      <c r="B2" s="40"/>
      <c r="C2" s="40"/>
      <c r="D2" s="24" t="s">
        <v>80</v>
      </c>
      <c r="E2" s="25" t="s">
        <v>76</v>
      </c>
      <c r="F2" s="42"/>
    </row>
    <row r="3" spans="1:6" x14ac:dyDescent="0.2">
      <c r="A3" s="23" t="s">
        <v>77</v>
      </c>
      <c r="B3" s="23" t="s">
        <v>34</v>
      </c>
      <c r="C3" s="23" t="s">
        <v>81</v>
      </c>
      <c r="D3" s="26">
        <f>SUMIFS(IndivRollupExample!R:R,IndivRollupExample!A:A,A3,IndivRollupExample!B:B,B3,IndivRollupExample!D:D,C3)</f>
        <v>58</v>
      </c>
      <c r="E3" s="27">
        <f>SUMIFS(IndivRollupExample!S:S,IndivRollupExample!A:A,A3,IndivRollupExample!B:B,B3,IndivRollupExample!D:D,C3)</f>
        <v>68007.5</v>
      </c>
      <c r="F3" s="27">
        <f>ROUND(E3/D3,2)</f>
        <v>1172.54</v>
      </c>
    </row>
    <row r="4" spans="1:6" x14ac:dyDescent="0.2">
      <c r="A4" s="23" t="s">
        <v>77</v>
      </c>
      <c r="B4" s="23" t="s">
        <v>34</v>
      </c>
      <c r="C4" s="23" t="s">
        <v>82</v>
      </c>
      <c r="D4" s="26">
        <f>SUMIFS(IndivRollupExample!R:R,IndivRollupExample!A:A,A4,IndivRollupExample!B:B,B4,IndivRollupExample!D:D,C4)</f>
        <v>50</v>
      </c>
      <c r="E4" s="27">
        <f>SUMIFS(IndivRollupExample!S:S,IndivRollupExample!A:A,A4,IndivRollupExample!B:B,B4,IndivRollupExample!D:D,C4)</f>
        <v>28391.87</v>
      </c>
      <c r="F4" s="27">
        <f t="shared" ref="F4" si="0">ROUND(E4/D4,2)</f>
        <v>567.84</v>
      </c>
    </row>
    <row r="5" spans="1:6" x14ac:dyDescent="0.2">
      <c r="A5" s="23" t="s">
        <v>77</v>
      </c>
      <c r="B5" s="23" t="s">
        <v>40</v>
      </c>
      <c r="C5" s="23" t="s">
        <v>81</v>
      </c>
      <c r="D5" s="26">
        <f>SUMIFS(IndivRollupExample!R:R,IndivRollupExample!A:A,A5,IndivRollupExample!B:B,B5,IndivRollupExample!D:D,C5)</f>
        <v>53</v>
      </c>
      <c r="E5" s="27">
        <f>SUMIFS(IndivRollupExample!S:S,IndivRollupExample!A:A,A5,IndivRollupExample!B:B,B5,IndivRollupExample!D:D,C5)</f>
        <v>48343.9015</v>
      </c>
      <c r="F5" s="27">
        <f t="shared" ref="F5" si="1">ROUND(E5/D5,2)</f>
        <v>912.15</v>
      </c>
    </row>
  </sheetData>
  <mergeCells count="5">
    <mergeCell ref="A1:A2"/>
    <mergeCell ref="B1:B2"/>
    <mergeCell ref="C1:C2"/>
    <mergeCell ref="D1:E1"/>
    <mergeCell ref="F1:F2"/>
  </mergeCells>
  <pageMargins left="0.7" right="0.7" top="0.75" bottom="0.75" header="0.3" footer="0.3"/>
  <pageSetup orientation="landscape" r:id="rId1"/>
  <headerFooter>
    <oddHeader>&amp;C&amp;"-,Bold"&amp;14Vendor Rollup Example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RepricingExamples</vt:lpstr>
      <vt:lpstr>IndivRollupExample</vt:lpstr>
      <vt:lpstr>VendorRollupExample</vt:lpstr>
      <vt:lpstr>IndivRollupExample!Print_Area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Alisher Abdullaev</dc:creator>
  <cp:lastModifiedBy>Kelly, Charlotte@DDS</cp:lastModifiedBy>
  <cp:lastPrinted>2020-10-15T00:40:38Z</cp:lastPrinted>
  <dcterms:created xsi:type="dcterms:W3CDTF">2020-10-05T21:55:28Z</dcterms:created>
  <dcterms:modified xsi:type="dcterms:W3CDTF">2020-10-15T00:42:29Z</dcterms:modified>
</cp:coreProperties>
</file>